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2.xml" ContentType="application/vnd.openxmlformats-officedocument.spreadsheetml.comments+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mjfgonzalez\Documents\"/>
    </mc:Choice>
  </mc:AlternateContent>
  <xr:revisionPtr revIDLastSave="0" documentId="13_ncr:1_{86E41B0B-1C7C-4BD5-A58C-38A0A679B356}" xr6:coauthVersionLast="36" xr6:coauthVersionMax="36" xr10:uidLastSave="{00000000-0000-0000-0000-000000000000}"/>
  <bookViews>
    <workbookView xWindow="0" yWindow="0" windowWidth="23040" windowHeight="8844" activeTab="3" xr2:uid="{78C0A6C4-8126-45BB-AE65-3C95BE50BB4D}"/>
  </bookViews>
  <sheets>
    <sheet name="total areas" sheetId="1" r:id="rId1"/>
    <sheet name="resúmen areas" sheetId="2" r:id="rId2"/>
    <sheet name="gráfico areas" sheetId="3" r:id="rId3"/>
    <sheet name="total entes" sheetId="4" r:id="rId4"/>
    <sheet name="resúmen entes" sheetId="5" r:id="rId5"/>
    <sheet name="gráfico entes" sheetId="6" r:id="rId6"/>
  </sheets>
  <externalReferences>
    <externalReference r:id="rId7"/>
    <externalReference r:id="rId8"/>
    <externalReference r:id="rId9"/>
    <externalReference r:id="rId10"/>
    <externalReference r:id="rId11"/>
    <externalReference r:id="rId12"/>
    <externalReference r:id="rId13"/>
    <externalReference r:id="rId14"/>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8" i="5" l="1"/>
  <c r="B28" i="5"/>
  <c r="E27" i="5"/>
  <c r="C27" i="5"/>
  <c r="E26" i="5"/>
  <c r="C26" i="5"/>
  <c r="E25" i="5"/>
  <c r="C25" i="5"/>
  <c r="E24" i="5"/>
  <c r="C24" i="5"/>
  <c r="E23" i="5"/>
  <c r="C23" i="5"/>
  <c r="E22" i="5"/>
  <c r="C22" i="5"/>
  <c r="E21" i="5"/>
  <c r="C21" i="5"/>
  <c r="E20" i="5"/>
  <c r="C20" i="5"/>
  <c r="E19" i="5"/>
  <c r="C19" i="5"/>
  <c r="E18" i="5"/>
  <c r="C18" i="5"/>
  <c r="E17" i="5"/>
  <c r="C17" i="5"/>
  <c r="E16" i="5"/>
  <c r="C16" i="5"/>
  <c r="E15" i="5"/>
  <c r="C15" i="5"/>
  <c r="E14" i="5"/>
  <c r="C14" i="5"/>
  <c r="E13" i="5"/>
  <c r="C13" i="5"/>
  <c r="E12" i="5"/>
  <c r="C12" i="5"/>
  <c r="E11" i="5"/>
  <c r="C11" i="5"/>
  <c r="E10" i="5"/>
  <c r="C10" i="5"/>
  <c r="E9" i="5"/>
  <c r="C9" i="5"/>
  <c r="E8" i="5"/>
  <c r="C8" i="5"/>
  <c r="E7" i="5"/>
  <c r="E28" i="5" s="1"/>
  <c r="C7" i="5"/>
  <c r="C28" i="5" s="1"/>
  <c r="D789" i="4"/>
  <c r="D786" i="4"/>
  <c r="D784" i="4"/>
  <c r="D782" i="4"/>
  <c r="D727" i="4"/>
  <c r="D726" i="4"/>
  <c r="D725" i="4"/>
  <c r="D596" i="4"/>
  <c r="D595" i="4"/>
  <c r="D593" i="4"/>
  <c r="D587" i="4"/>
  <c r="D586" i="4"/>
  <c r="D585" i="4"/>
  <c r="D584" i="4"/>
  <c r="D583" i="4"/>
  <c r="D582" i="4"/>
  <c r="D519" i="4"/>
  <c r="D518" i="4"/>
  <c r="D515" i="4"/>
  <c r="D514" i="4"/>
  <c r="D513" i="4"/>
  <c r="D512" i="4"/>
  <c r="D510" i="4"/>
  <c r="D509" i="4"/>
  <c r="D508" i="4"/>
  <c r="D394" i="4"/>
  <c r="D346" i="4"/>
  <c r="D342" i="4"/>
  <c r="D341" i="4"/>
  <c r="D337" i="4"/>
  <c r="D334" i="4"/>
  <c r="D331" i="4"/>
  <c r="D329" i="4"/>
  <c r="D314" i="4"/>
  <c r="D311" i="4"/>
  <c r="D295" i="4"/>
  <c r="D294" i="4"/>
  <c r="D292" i="4"/>
  <c r="D291" i="4"/>
  <c r="D290" i="4"/>
  <c r="D289" i="4"/>
  <c r="D288" i="4"/>
  <c r="D287" i="4"/>
  <c r="D286" i="4"/>
  <c r="D285" i="4"/>
  <c r="D284" i="4"/>
  <c r="D283" i="4"/>
  <c r="D282" i="4"/>
  <c r="D281" i="4"/>
  <c r="D228" i="4"/>
  <c r="D147" i="4"/>
  <c r="D145" i="4"/>
  <c r="D137" i="4"/>
  <c r="D136" i="4"/>
  <c r="D84" i="4"/>
  <c r="D82" i="4"/>
  <c r="D81" i="4"/>
  <c r="D78" i="4"/>
  <c r="D77" i="4"/>
  <c r="D76" i="4"/>
  <c r="D68" i="4"/>
  <c r="D64" i="4"/>
  <c r="D61" i="4"/>
  <c r="D59" i="4"/>
  <c r="D58" i="4"/>
  <c r="D57" i="4"/>
  <c r="D55" i="4"/>
  <c r="D54" i="4"/>
  <c r="D53" i="4"/>
  <c r="D52" i="4"/>
  <c r="D51" i="4"/>
  <c r="D49" i="4"/>
  <c r="D48" i="4"/>
  <c r="D47" i="4"/>
  <c r="D45" i="4"/>
  <c r="D43" i="4"/>
  <c r="D40" i="4"/>
  <c r="D39" i="4"/>
  <c r="D38" i="4"/>
  <c r="D36" i="4"/>
  <c r="D35" i="4"/>
  <c r="D34" i="4"/>
  <c r="D31" i="4"/>
  <c r="C10" i="3" l="1"/>
  <c r="D9" i="3" s="1"/>
  <c r="D6" i="3"/>
  <c r="D5" i="3"/>
  <c r="D40" i="2"/>
  <c r="E33" i="2" s="1"/>
  <c r="B40" i="2"/>
  <c r="C39" i="2"/>
  <c r="C38" i="2"/>
  <c r="C37" i="2"/>
  <c r="E36" i="2"/>
  <c r="C36" i="2"/>
  <c r="E35" i="2"/>
  <c r="C35" i="2"/>
  <c r="C34" i="2"/>
  <c r="C33" i="2"/>
  <c r="E32" i="2"/>
  <c r="C32" i="2"/>
  <c r="C31" i="2"/>
  <c r="C30" i="2"/>
  <c r="C29" i="2"/>
  <c r="E28" i="2"/>
  <c r="C28" i="2"/>
  <c r="C27" i="2"/>
  <c r="C26" i="2"/>
  <c r="C25" i="2"/>
  <c r="E24" i="2"/>
  <c r="C24" i="2"/>
  <c r="C23" i="2"/>
  <c r="C22" i="2"/>
  <c r="C21" i="2"/>
  <c r="E20" i="2"/>
  <c r="C20" i="2"/>
  <c r="E19" i="2"/>
  <c r="C19" i="2"/>
  <c r="E18" i="2"/>
  <c r="C18" i="2"/>
  <c r="C17" i="2"/>
  <c r="E16" i="2"/>
  <c r="C16" i="2"/>
  <c r="E15" i="2"/>
  <c r="C15" i="2"/>
  <c r="E14" i="2"/>
  <c r="C14" i="2"/>
  <c r="C13" i="2"/>
  <c r="E12" i="2"/>
  <c r="C12" i="2"/>
  <c r="E11" i="2"/>
  <c r="C11" i="2"/>
  <c r="E10" i="2"/>
  <c r="C10" i="2"/>
  <c r="C9" i="2"/>
  <c r="E8" i="2"/>
  <c r="C8" i="2"/>
  <c r="E7" i="2"/>
  <c r="C7" i="2"/>
  <c r="E6" i="2"/>
  <c r="C6" i="2"/>
  <c r="C5" i="2"/>
  <c r="E4" i="2"/>
  <c r="C4" i="2"/>
  <c r="C40" i="2" s="1"/>
  <c r="E523" i="1"/>
  <c r="E522" i="1"/>
  <c r="E521" i="1"/>
  <c r="E520" i="1"/>
  <c r="E519" i="1"/>
  <c r="E518" i="1"/>
  <c r="E517" i="1"/>
  <c r="E516" i="1"/>
  <c r="E512" i="1"/>
  <c r="E463" i="1"/>
  <c r="E461" i="1"/>
  <c r="E460" i="1"/>
  <c r="E459" i="1"/>
  <c r="E458" i="1"/>
  <c r="E457" i="1"/>
  <c r="E456" i="1"/>
  <c r="E455" i="1"/>
  <c r="E454" i="1"/>
  <c r="E453" i="1"/>
  <c r="E452" i="1"/>
  <c r="E451" i="1"/>
  <c r="E450" i="1"/>
  <c r="E448" i="1"/>
  <c r="E447" i="1"/>
  <c r="E446" i="1"/>
  <c r="E445" i="1"/>
  <c r="E444" i="1"/>
  <c r="E443" i="1"/>
  <c r="E442" i="1"/>
  <c r="E402" i="1"/>
  <c r="E328" i="1"/>
  <c r="E309" i="1"/>
  <c r="E305" i="1"/>
  <c r="E304" i="1"/>
  <c r="E195" i="1"/>
  <c r="E193" i="1"/>
  <c r="E106" i="1"/>
  <c r="E85" i="1"/>
  <c r="E84" i="1"/>
  <c r="E83" i="1"/>
  <c r="E82" i="1"/>
  <c r="E80" i="1"/>
  <c r="E79" i="1"/>
  <c r="E78" i="1"/>
  <c r="E77" i="1"/>
  <c r="E76" i="1"/>
  <c r="E75" i="1"/>
  <c r="E74" i="1"/>
  <c r="E73" i="1"/>
  <c r="E72" i="1"/>
  <c r="E71" i="1"/>
  <c r="E70" i="1"/>
  <c r="E69" i="1"/>
  <c r="E68" i="1"/>
  <c r="E67" i="1"/>
  <c r="E66" i="1"/>
  <c r="E65" i="1"/>
  <c r="E64" i="1"/>
  <c r="E63" i="1"/>
  <c r="E62" i="1"/>
  <c r="E61" i="1"/>
  <c r="E60" i="1"/>
  <c r="E59" i="1"/>
  <c r="E26" i="1"/>
  <c r="D7" i="3" l="1"/>
  <c r="D10" i="3" s="1"/>
  <c r="D8" i="3"/>
  <c r="E5" i="2"/>
  <c r="E40" i="2" s="1"/>
  <c r="E9" i="2"/>
  <c r="E13" i="2"/>
  <c r="E17" i="2"/>
  <c r="E21" i="2"/>
  <c r="E25" i="2"/>
  <c r="E29" i="2"/>
  <c r="E37" i="2"/>
  <c r="E38" i="2"/>
  <c r="E22" i="2"/>
  <c r="E26" i="2"/>
  <c r="E30" i="2"/>
  <c r="E34" i="2"/>
  <c r="E23" i="2"/>
  <c r="E27" i="2"/>
  <c r="E31" i="2"/>
  <c r="E3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Gavira Montiel, Rosa María</author>
  </authors>
  <commentList>
    <comment ref="B226" authorId="0" shapeId="0" xr:uid="{3B6C9DCA-2CEC-44AA-83D3-3B49F1BB2CC5}">
      <text>
        <r>
          <rPr>
            <b/>
            <sz val="9"/>
            <color indexed="81"/>
            <rFont val="Tahoma"/>
            <family val="2"/>
          </rPr>
          <t>Gavira Montiel, Rosa María:</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tc={0C6835DC-7BDB-4674-8FAA-05CD48AA5F58}</author>
    <author>Aba Romero, Matilde</author>
  </authors>
  <commentList>
    <comment ref="C494" authorId="0" shapeId="0" xr:uid="{E59D08C3-CAA4-443A-AC6D-44F0296D2A4F}">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NO CONFIRMADO</t>
        </r>
      </text>
    </comment>
    <comment ref="H593" authorId="1" shapeId="0" xr:uid="{8BB63F45-5CD1-4EAC-8BE9-FEF183E6CFF6}">
      <text>
        <r>
          <rPr>
            <b/>
            <sz val="9"/>
            <color indexed="81"/>
            <rFont val="Tahoma"/>
            <family val="2"/>
          </rPr>
          <t>Aba Romero, Matilde:</t>
        </r>
        <r>
          <rPr>
            <sz val="9"/>
            <color indexed="81"/>
            <rFont val="Tahoma"/>
            <family val="2"/>
          </rPr>
          <t xml:space="preserve">
Hasta un máx. 5 años</t>
        </r>
      </text>
    </comment>
    <comment ref="H594" authorId="1" shapeId="0" xr:uid="{2B22E6FB-6982-4CC2-8189-2E9E830936CC}">
      <text>
        <r>
          <rPr>
            <b/>
            <sz val="9"/>
            <color indexed="81"/>
            <rFont val="Tahoma"/>
            <family val="2"/>
          </rPr>
          <t>Aba Romero, Matilde:</t>
        </r>
        <r>
          <rPr>
            <sz val="9"/>
            <color indexed="81"/>
            <rFont val="Tahoma"/>
            <family val="2"/>
          </rPr>
          <t xml:space="preserve">
Hasta un máx. 5 años</t>
        </r>
      </text>
    </comment>
    <comment ref="H595" authorId="1" shapeId="0" xr:uid="{C1059520-82F7-428C-AFE2-06353E8EF8E7}">
      <text>
        <r>
          <rPr>
            <b/>
            <sz val="9"/>
            <color indexed="81"/>
            <rFont val="Tahoma"/>
            <family val="2"/>
          </rPr>
          <t>Aba Romero, Matilde:</t>
        </r>
        <r>
          <rPr>
            <sz val="9"/>
            <color indexed="81"/>
            <rFont val="Tahoma"/>
            <family val="2"/>
          </rPr>
          <t xml:space="preserve">
Hasta un máx. 4 años</t>
        </r>
      </text>
    </comment>
  </commentList>
</comments>
</file>

<file path=xl/sharedStrings.xml><?xml version="1.0" encoding="utf-8"?>
<sst xmlns="http://schemas.openxmlformats.org/spreadsheetml/2006/main" count="9307" uniqueCount="2047">
  <si>
    <t>ALCALDÍA</t>
  </si>
  <si>
    <t>Órgano de contratación</t>
  </si>
  <si>
    <t>Tipo de contrato (*)</t>
  </si>
  <si>
    <t>Super  SImplif.  SI/NO</t>
  </si>
  <si>
    <t>Objeto</t>
  </si>
  <si>
    <t>Valor estimado (IVA excl)</t>
  </si>
  <si>
    <t>Lotes  SI/NO</t>
  </si>
  <si>
    <t xml:space="preserve">TRIM previsto envío pliegos </t>
  </si>
  <si>
    <t>Código/s CPV</t>
  </si>
  <si>
    <t>Duración</t>
  </si>
  <si>
    <t>Prórroga SI/NO</t>
  </si>
  <si>
    <t>Reserva Centro Especial de Empleo</t>
  </si>
  <si>
    <t>Concejalía Delegada del Área Específica de Contratación Pública Estratégica del Ayuntamiento de Málaga</t>
  </si>
  <si>
    <t>SUMINISTRO</t>
  </si>
  <si>
    <t>NO</t>
  </si>
  <si>
    <t xml:space="preserve">Suministro de material textil de diversa índole para atenciones protocolarias y representativas </t>
  </si>
  <si>
    <t>4º TRIM
2025</t>
  </si>
  <si>
    <t>39560000-5</t>
  </si>
  <si>
    <t>1 AÑO</t>
  </si>
  <si>
    <t>SÍ</t>
  </si>
  <si>
    <t>SERVICIO</t>
  </si>
  <si>
    <t>Servicio de forma sucesiva 
y por precio unitario de catering
 para las recepciones y actos protocolarios organizados
 o en los que colabora el Ayuntamiento de Málaga,
 con criterios de circularidad.</t>
  </si>
  <si>
    <t>4º TRIM 
2025</t>
  </si>
  <si>
    <t>55520000-1</t>
  </si>
  <si>
    <t>2 AÑOS</t>
  </si>
  <si>
    <t xml:space="preserve">Servicio de agencia de viajes miembros de los Órganos de Gobierno Directivos y empleados públicos del Áreas de Alcaldía </t>
  </si>
  <si>
    <t xml:space="preserve">1º TRIM
</t>
  </si>
  <si>
    <t>63510000-7</t>
  </si>
  <si>
    <t>Suministro de forma sucesiva y por precio unitario de objetos necesarios para las atenciones protocolarias representaticvas del Ayuntamiento de Málaga</t>
  </si>
  <si>
    <t>39298000-7</t>
  </si>
  <si>
    <t>ASESORÍA JURÍDICA</t>
  </si>
  <si>
    <t>Concejalía Delegada del Área Específica de Contratación Pública Estratégica</t>
  </si>
  <si>
    <t>PRIVADO/
SERVICIO</t>
  </si>
  <si>
    <t>La suscripción, por parte del Excmo. Ayuntamiento de Málaga de una póliza de seguro de Responsabilidad Civil / Patrimonial, conforme a las condiciones que se especifiquen en el Pliego, que tendrán la consideración de coberturas mínimas.</t>
  </si>
  <si>
    <t>2º TRIM.</t>
  </si>
  <si>
    <t xml:space="preserve">66500000-5 66510000-8  66516000-0 </t>
  </si>
  <si>
    <t>COMERCIO</t>
  </si>
  <si>
    <t>Valor estimado    (IVA excl)</t>
  </si>
  <si>
    <t>Servicio revisiones atracciones feria y servicio revisiones Inst. Semana Santa</t>
  </si>
  <si>
    <t>1º TRIM.</t>
  </si>
  <si>
    <t xml:space="preserve">71631000-0 </t>
  </si>
  <si>
    <t xml:space="preserve">SI, anualmente hasta un máximo de 3 años </t>
  </si>
  <si>
    <t>Tenencia de Alcaldía Delegada de Área de Comercio, Gestión de la Vía Pública y Fomento de la Actividad Empresarial</t>
  </si>
  <si>
    <t>Limpieza de techos de los puestos y acristalamiento perimetral mercado de Atarazanas</t>
  </si>
  <si>
    <t xml:space="preserve">1º TRIM. </t>
  </si>
  <si>
    <t xml:space="preserve">90911200-8 </t>
  </si>
  <si>
    <t>3 MESES</t>
  </si>
  <si>
    <t>Servicio homologación puertas Atarazanas</t>
  </si>
  <si>
    <t>50700000-2</t>
  </si>
  <si>
    <t>2 MESES</t>
  </si>
  <si>
    <t>OBRAS</t>
  </si>
  <si>
    <t>Obras instalación toldos Huelin 2 fase</t>
  </si>
  <si>
    <t>45421144-5</t>
  </si>
  <si>
    <t>10 SEMANAS</t>
  </si>
  <si>
    <t>Concejalía Delegada de Comercio, Gestión de la Vía Pública y Fomento de la Actividad Empresarial</t>
  </si>
  <si>
    <t xml:space="preserve"> Obras sistema telecomunicaciones y sistema de alarmas en el Mercado de la Merced</t>
  </si>
  <si>
    <t>45314000-1
45312200-9</t>
  </si>
  <si>
    <t>1 MES</t>
  </si>
  <si>
    <t xml:space="preserve">Servicio de limpieza de aseos de Avda. Malagueñas, Cortijo de Torres </t>
  </si>
  <si>
    <t>47.800, 02</t>
  </si>
  <si>
    <t>2º TRIM..</t>
  </si>
  <si>
    <t>Servicio de mantenimiento de las taquillas inteligentes ubicadas en los mercados</t>
  </si>
  <si>
    <t xml:space="preserve">
50116100 </t>
  </si>
  <si>
    <t xml:space="preserve">SI, anualmente hasta un máximo de 4 años </t>
  </si>
  <si>
    <t>Servicio de mantenimiento toldos mercadillos</t>
  </si>
  <si>
    <t xml:space="preserve"> 50800000-3 </t>
  </si>
  <si>
    <t xml:space="preserve">Concejalía Delegada de Contratación Pública Estratégica </t>
  </si>
  <si>
    <t xml:space="preserve">Servicio de pintura de las fachadas de los mercados </t>
  </si>
  <si>
    <t>COMUNICACIÓN</t>
  </si>
  <si>
    <t>servicio de agencia de viajes para los órganos de gobierno, directivos y empleados publc.  areas de comunicación</t>
  </si>
  <si>
    <t>63511000-4 63512000-1 63513000-8 63515000-2 63516000-9</t>
  </si>
  <si>
    <t>2+2</t>
  </si>
  <si>
    <t>SI</t>
  </si>
  <si>
    <t>COORDINACIÓN DE DISTRITOS</t>
  </si>
  <si>
    <t>Concejalía Delegada del Área Específica de Coordinación de Distritos del Ayuntamiento de Málaga</t>
  </si>
  <si>
    <t>Suministro de materiales de trabajo para los Planes de Empleo</t>
  </si>
  <si>
    <t>44800000-8
44316400-2
44115200-1
31600000-2
44111000
39800000-0</t>
  </si>
  <si>
    <t>12 MESES</t>
  </si>
  <si>
    <t>Concejalía Delegada del Área de Contratación Pública Estratégica</t>
  </si>
  <si>
    <t>suministro de material de pintura, de ferretería, de fontanería, eléctrico, de obras y de limpieza para las juntas municipales de distrito.</t>
  </si>
  <si>
    <t>15 MESES</t>
  </si>
  <si>
    <t xml:space="preserve">OBRAS </t>
  </si>
  <si>
    <t xml:space="preserve">obras de reparación de once centros de enseñanza infantil y primaria de la ciudad de málaga </t>
  </si>
  <si>
    <t xml:space="preserve">45000000-7
45259000-7 </t>
  </si>
  <si>
    <t>Suministro de caramelos con motivo de las Fiestas de Navidad y Reyes de las Juntas Municipales de Distrito.</t>
  </si>
  <si>
    <t>4ºTRIM.</t>
  </si>
  <si>
    <t>15842310-8</t>
  </si>
  <si>
    <t>CULTURA</t>
  </si>
  <si>
    <t>Concejalía Degada del Área de Cultura y Patrimonio Histórico del Ayuntamiento de Málaga</t>
  </si>
  <si>
    <t>Suministro automóvil para la Red Municipal de Bibliotecas del Ayuntamiento de Málaga</t>
  </si>
  <si>
    <t>34111200-0</t>
  </si>
  <si>
    <t>6 MESES</t>
  </si>
  <si>
    <t>No</t>
  </si>
  <si>
    <t>Concejalía delegada del Área de Contratación Pública Estratégica</t>
  </si>
  <si>
    <t>OBRA</t>
  </si>
  <si>
    <t xml:space="preserve">Obras Rehabilitación Colegio María Auxiliadora </t>
  </si>
  <si>
    <t>45212330-8</t>
  </si>
  <si>
    <t>24 m</t>
  </si>
  <si>
    <t>Adquisición de instrumentos musicales para la Banda Municipal de Música de Málaga</t>
  </si>
  <si>
    <t xml:space="preserve">37300000-1 </t>
  </si>
  <si>
    <t>4 MESES</t>
  </si>
  <si>
    <t>Adquisición de material técnico para la Banda Municipal de Música de Málaga</t>
  </si>
  <si>
    <t xml:space="preserve">37000000-8 </t>
  </si>
  <si>
    <t xml:space="preserve">SI </t>
  </si>
  <si>
    <t>Suministro de atriles y carros transporte BMM</t>
  </si>
  <si>
    <t>37000000-8</t>
  </si>
  <si>
    <t xml:space="preserve">Gestión de visitantes  Alcazaba Castillo de Gibralfaro </t>
  </si>
  <si>
    <t xml:space="preserve">92500000-6 </t>
  </si>
  <si>
    <t>Si</t>
  </si>
  <si>
    <t>Gestión de visitantes y control de accesos en la Casa Gerald Brenan</t>
  </si>
  <si>
    <t xml:space="preserve">98341130-5 </t>
  </si>
  <si>
    <t>Servicio de Agencia de viajes para actividades</t>
  </si>
  <si>
    <t xml:space="preserve">63500000-4 </t>
  </si>
  <si>
    <t>Servicio de impresión de exposiciones, Noche en Blanco, Casa Gerald Brenan, publicaciones y otras actividades culturales</t>
  </si>
  <si>
    <t xml:space="preserve">79810000-5 </t>
  </si>
  <si>
    <t>Concejala delegada de Contratación pública estratégica</t>
  </si>
  <si>
    <t>Servicio de rotulación de exposiciones del Área de Cultura</t>
  </si>
  <si>
    <t xml:space="preserve">79800000-2 </t>
  </si>
  <si>
    <t>Alquiler de un automóvil para la Red Municipal de Bibliotecas del Ayto. Málaga</t>
  </si>
  <si>
    <t>34100000-8</t>
  </si>
  <si>
    <t>4 AÑOS</t>
  </si>
  <si>
    <t>Concejal Delegada del Área de Cultura y Patrimonio Histórico del Ayuntamiento de Málaga</t>
  </si>
  <si>
    <t>Mobiliario y equipamiento para la Red de Bibliotecas Municipales del Ayuntamiento de Málaga</t>
  </si>
  <si>
    <t>39155000-3</t>
  </si>
  <si>
    <t>60 DÍAS</t>
  </si>
  <si>
    <t>Equipamiento audiovisual para la Red de Bibliotecas Municipales del Ayuntamiento de Málaga</t>
  </si>
  <si>
    <t>39155100-4</t>
  </si>
  <si>
    <t>40 DÍAS</t>
  </si>
  <si>
    <t xml:space="preserve">Iluminación Alcazaba </t>
  </si>
  <si>
    <t>45316000-5</t>
  </si>
  <si>
    <t>24 M</t>
  </si>
  <si>
    <t>Servicio de utillería para actividades y necesidades del Área de Cultura y Patrimonio Histórico</t>
  </si>
  <si>
    <t xml:space="preserve">63100000-0 </t>
  </si>
  <si>
    <t xml:space="preserve">Si </t>
  </si>
  <si>
    <t xml:space="preserve">No </t>
  </si>
  <si>
    <t>MIXTO</t>
  </si>
  <si>
    <t>Servicio de alquiler, instalación, revisión, mantenimiento y conexión con la central receptora de los equipos de alarma en Biblioteca Pública Municipal Jorge Guillén</t>
  </si>
  <si>
    <t>79710000-4</t>
  </si>
  <si>
    <t xml:space="preserve">2 AÑOS </t>
  </si>
  <si>
    <t>Servicio de revisión, mantenimiento y conexión con la central receptora de los equipos de alarma en Banda Municipal de Música</t>
  </si>
  <si>
    <t xml:space="preserve">Servicio de alquiler, instalación, revisión, mantenimiento y conexión con la central receptora de los equipos de alarma en Centro de Interpretación Histórica José Mª Torrijos </t>
  </si>
  <si>
    <t>PRIVADO - SERVICIO</t>
  </si>
  <si>
    <t>Servicio de adecuación de las salas expositivas y montaje y desmontaje de exposiciones del Área de Cultura y Patrimonio Histórico del Ayuntamiento de Málaga</t>
  </si>
  <si>
    <t xml:space="preserve">79956000-0 </t>
  </si>
  <si>
    <t>Servicio de sonorización, conectividad de equipos audiovisuales y asistencia técnica para actividades del Área de Cultura y Patrimonio Histórico</t>
  </si>
  <si>
    <t xml:space="preserve">92370000-5 </t>
  </si>
  <si>
    <t xml:space="preserve">1 AÑO </t>
  </si>
  <si>
    <t>Servicio de desinsectación y control de las instalaciones afectadas por la presencia de lepismas en el Archivo  Municipal de Málaga</t>
  </si>
  <si>
    <t xml:space="preserve">90922000-6 </t>
  </si>
  <si>
    <t>60 M</t>
  </si>
  <si>
    <t>Concejala delegada del Área de Contratación pública estratégica</t>
  </si>
  <si>
    <t>Servicio de gestión integral de venta de entradas a los monumentos de Alcazaba y Gibralfaro, así como a los eventos del Área de Cultura y Patrimonio Histórico</t>
  </si>
  <si>
    <t>72212481-4</t>
  </si>
  <si>
    <t xml:space="preserve">Suministro y servicios de banderolas de la Noche en Blanco </t>
  </si>
  <si>
    <t>3º TRIM.</t>
  </si>
  <si>
    <t xml:space="preserve">22460000-2 </t>
  </si>
  <si>
    <t xml:space="preserve">Suministro de material de merchandising de la Noche en Blanco </t>
  </si>
  <si>
    <t>22462000-6</t>
  </si>
  <si>
    <t xml:space="preserve">Servicio de atención al público en eventos del Área de Cultura </t>
  </si>
  <si>
    <t xml:space="preserve">79952000-2 </t>
  </si>
  <si>
    <t>PRIVADO</t>
  </si>
  <si>
    <t xml:space="preserve">Musealización Alcazaba </t>
  </si>
  <si>
    <t>92500000-6</t>
  </si>
  <si>
    <t>DEPORTE</t>
  </si>
  <si>
    <t>servicio del programa de actividades deportivas para adultos y mayores en las diferentes  intalaciones ubicadas en la ciudad</t>
  </si>
  <si>
    <t>contratación anticipada
 4º trimestre 25</t>
  </si>
  <si>
    <t>92600000-7</t>
  </si>
  <si>
    <t>Concejalía Delegada del Área Específica de Deporte del Ayuntamiento de Málaga</t>
  </si>
  <si>
    <t>servicio del programa 0 víctimas</t>
  </si>
  <si>
    <t xml:space="preserve"> 1º TRIM.</t>
  </si>
  <si>
    <t>80562000-1</t>
  </si>
  <si>
    <t>servicio de limpieza para salas e actividades deportiva en edificios de titularidad municipal</t>
  </si>
  <si>
    <t xml:space="preserve">   90911200-8</t>
  </si>
  <si>
    <t>2 AÑOS
+1+1+1</t>
  </si>
  <si>
    <t>A.M. workout, calistenia y otros equipamientos deportvos</t>
  </si>
  <si>
    <t xml:space="preserve">37410000-5 </t>
  </si>
  <si>
    <t>MIXTO:
SUMINISTRO Y SERVICIO</t>
  </si>
  <si>
    <t>deporte en feria</t>
  </si>
  <si>
    <t>63100000-0 79952000-2</t>
  </si>
  <si>
    <t>2AÑOS +1</t>
  </si>
  <si>
    <t>suministro y servicio de montaje de videomarcadores en el pabellón "alfonso queipo de llano" del polideportivo de ciudad jardín</t>
  </si>
  <si>
    <t>317102100-5 32351200-0 45223100</t>
  </si>
  <si>
    <t>5 MESES</t>
  </si>
  <si>
    <t>servicio de redacción, elaboración y tramitación del plied de málaga</t>
  </si>
  <si>
    <t>11 MESES</t>
  </si>
  <si>
    <t>suministro de material de ferretería, fontanería y eléctrico para instalaciones deportivas de gestión directa</t>
  </si>
  <si>
    <t>44316400
43300000
44512000
31680000
44115200
44115210
44316510-6
44316500-342418000</t>
  </si>
  <si>
    <t>3 AÑOS</t>
  </si>
  <si>
    <t>suministro e instalación de pavimento vinílico antideslizante para vestuarios en estadio de atletismo</t>
  </si>
  <si>
    <t xml:space="preserve">44112200                                        44113100 </t>
  </si>
  <si>
    <t>reparación de acristalamientos y mamparas dañados del estadio de atletismo</t>
  </si>
  <si>
    <t>14820000                                                                          44221000                               45421100-I  45421160</t>
  </si>
  <si>
    <t>revisión y certificación de líneas de vida, puntos de anclaje y equipos de trabajo en altura en instalaciones deportivas de gestión directa</t>
  </si>
  <si>
    <t>5 AÑOS</t>
  </si>
  <si>
    <t>servicio de limpieza de la pista de atletismo del estadio de atletismo</t>
  </si>
  <si>
    <t>puesta a punto acs y afcm estadio de atletismo</t>
  </si>
  <si>
    <t>instalación deportiva de rugby</t>
  </si>
  <si>
    <t xml:space="preserve"> 2º TRIM..</t>
  </si>
  <si>
    <t>45212200-8</t>
  </si>
  <si>
    <t>cambio de cesped artificial en campos de futbol.
campo de futbol romeral</t>
  </si>
  <si>
    <t>10 MESES</t>
  </si>
  <si>
    <t>cambio de cesped artificial en campos de futbol.
campo de futbol guadaljaire</t>
  </si>
  <si>
    <t>8 MESES</t>
  </si>
  <si>
    <t>cambio de cesped artificial en campos de futbol.
campo de futbol malaka</t>
  </si>
  <si>
    <t>cambio de cesped artificial en campos de futbol.
campo de futbol carlinda</t>
  </si>
  <si>
    <t>A.M. suministro de material propio de las redes de saneamiento de los campos de fútbol y pistas deportivas</t>
  </si>
  <si>
    <t>A.M. suministro de material de ferreteria  para los campos de fútbol y pistas deportivas</t>
  </si>
  <si>
    <t>pintura de paramentos estadio</t>
  </si>
  <si>
    <t xml:space="preserve">45262650 
4544000  
45442110   
45442120 </t>
  </si>
  <si>
    <t>marcaje de lineas de pistas</t>
  </si>
  <si>
    <t>A.M. arreglos y mejoras en material de seguridad en instalaciones deportivas.</t>
  </si>
  <si>
    <t xml:space="preserve"> 3º TRIM.</t>
  </si>
  <si>
    <t xml:space="preserve">mejora del campo de futbol guadalmar </t>
  </si>
  <si>
    <t xml:space="preserve"> 4º TRIM.</t>
  </si>
  <si>
    <t xml:space="preserve">SÍ </t>
  </si>
  <si>
    <t>suministro de trofeos y medallas</t>
  </si>
  <si>
    <t xml:space="preserve">CONTRATACIÓN ANTICIPADA 2026 </t>
  </si>
  <si>
    <t>18530000-3</t>
  </si>
  <si>
    <t>2+1</t>
  </si>
  <si>
    <t>si</t>
  </si>
  <si>
    <t>seguro de accidentes para las pruebas deportivas</t>
  </si>
  <si>
    <t>7992000-2</t>
  </si>
  <si>
    <t>DERECHOS SOCIALES</t>
  </si>
  <si>
    <t>Concejalía Delegada del Área Específica de Derechos Sociales, Diversidad, Igualdad y Accesibilidad del Ayuntamiento de Málaga</t>
  </si>
  <si>
    <t>suministro e instalación de desas / totems y cabinas en la ciudad de málaga.</t>
  </si>
  <si>
    <t xml:space="preserve">33182100-0 </t>
  </si>
  <si>
    <t xml:space="preserve">servicio integral de la publicidad de las actividades del colectivo de personas mayores y de su revista “solera” en la ciudad de málaga 
•Lote 1: servicio de diseño y adaptación de soportes publicitarios (papel y web) para la difusión de las actividades del colectivo de personas mayores y servicio de diseño, maquetación y acabado final de contenidos de su revista “solera”. 
•Lote 2: servicio de edición de soportes publicitarios para la difusión de las actividades del colectivo de personas mayores y servicio de edición de la revista de las personas mayores “solera”.  
•Lote 3: servicio de manipulado, embolsado, impresión y disposición de direcciones, franqueo postal y transporte de la revista “solera”. </t>
  </si>
  <si>
    <t>79920000-9  79571000-7  79341400-0   79810000-5</t>
  </si>
  <si>
    <t>2 AÑOS+2 AÑOS</t>
  </si>
  <si>
    <t>suministro en alquiler de escenario y de equipo de sonido y servicio de actuación musical con motivo del “día internacional de las personas mayores” a celebrar en la ciudad de málaga</t>
  </si>
  <si>
    <t xml:space="preserve">5311300-9  92312120-8 </t>
  </si>
  <si>
    <t>1+1+1</t>
  </si>
  <si>
    <t>servicio de apoyo técnico para la celebración de los órganos de participación infantil de la ciudad de málaga</t>
  </si>
  <si>
    <t xml:space="preserve">85320000-8 </t>
  </si>
  <si>
    <t>Concejala Delegada del Área de Contratación Pública Estratégica</t>
  </si>
  <si>
    <t>servicio de control de acceso para  la sede de las delegaciones de las áreas de derechos sociales, diversidad, igualdad, accesibilidad, así como de participación ciudadana, migración, acción exterior, cooperación al desarrollo, transparencia y buen gobierno del ayuntamiento de málaga</t>
  </si>
  <si>
    <t xml:space="preserve">98341130-5  98341120-2 </t>
  </si>
  <si>
    <t xml:space="preserve">Concejalía delegada del área específica de derechos sociales, diversidad, igualdad y accesibilidad </t>
  </si>
  <si>
    <t>servicio para la celebración del día internacional de la familia en la ciudad de málaga</t>
  </si>
  <si>
    <t xml:space="preserve">servicios de decoración, animación y presentación (lote 1) y  de  control técnico para la disposición del sonido y luces de escenario, y ambientación musical (lote 2), destinados a la caseta municipal de las personas mayores “el rengue” durante la feria de agosto, en la ciudad de málaga. </t>
  </si>
  <si>
    <t>4º TRIM.</t>
  </si>
  <si>
    <t>79931000-9  51313000-9  92312120-8</t>
  </si>
  <si>
    <t>2 AÑOS+1 AÑO</t>
  </si>
  <si>
    <t>restauración de la caseta municipal de las personas mayores  “el rengue” para la feria de agosto de la ciudad de málaga: disposición de mesas (cenas) y explotación de barra</t>
  </si>
  <si>
    <t>55100000-1</t>
  </si>
  <si>
    <t>1 AÑO+1 AÑO</t>
  </si>
  <si>
    <t xml:space="preserve">servicio socioeducativo de animación infantil y adolescente, dirigido a menores residentes en distintos barrios de riesgo social del distrito centro, de la ciudad de málaga </t>
  </si>
  <si>
    <t xml:space="preserve">contratación de los trabajos de diseño y elaboracion, en formato digital, del boletín mensual “ds” y de la memoria anual del área de derechos sociales del ayuntamiento de málaga </t>
  </si>
  <si>
    <t>798110002
79553000-5</t>
  </si>
  <si>
    <t xml:space="preserve">contratación de una póliza de seguro para la cobertura de accidentes de los participantes en las actividades programadas por el área de derechos sociales y los doce centros de servicios sociales comunitarios del ayuntamiento de málaga </t>
  </si>
  <si>
    <t>66510000-8</t>
  </si>
  <si>
    <t>mantenimiento preventivo de desfibriladores externos semiautomáticos (desas) instalados en la ciudad de málaga, propiedad del excmo. ayuntamiento</t>
  </si>
  <si>
    <t>DISTRITO 1 CENTRO</t>
  </si>
  <si>
    <t>Concejalía Delegada de la Presidencia de la Junta Municipal del Distrito nº 1, Centro del Ayuntamiento de Málaga</t>
  </si>
  <si>
    <t>suministro e instalación de elementos de juego infantil en parque de málaga</t>
  </si>
  <si>
    <t>1º TRIM</t>
  </si>
  <si>
    <t>suministro e instalación de pavimento de seguridad para áreas de juego infantil del distrito nº 1 málaga centro</t>
  </si>
  <si>
    <t>37535200-9</t>
  </si>
  <si>
    <t xml:space="preserve">NO </t>
  </si>
  <si>
    <t>DISTRITO 2 ESTE</t>
  </si>
  <si>
    <t>Concejalía Delegada de la Presidencia de la Junta Municipal del Distrito nº 2, Este del Ayuntamiento de Málaga</t>
  </si>
  <si>
    <t xml:space="preserve">alquiler infraestuctura desarrollo fiestas populares  distrito este </t>
  </si>
  <si>
    <t xml:space="preserve">44210000
44212320
45223800
45223820
</t>
  </si>
  <si>
    <t>N0</t>
  </si>
  <si>
    <t>SERVICIO-PRIVADO</t>
  </si>
  <si>
    <t>serv. agencia de contratacion para desarrollo programa fiestas populares  bdas distrito este 2026</t>
  </si>
  <si>
    <t>92312000-1</t>
  </si>
  <si>
    <t xml:space="preserve">20 DIAS </t>
  </si>
  <si>
    <t xml:space="preserve">SERVICIO </t>
  </si>
  <si>
    <t>servicio de control de acceso centro ciudadano limonar</t>
  </si>
  <si>
    <t>24 MESES</t>
  </si>
  <si>
    <t>serv. agencia de contratacion para desarrollo cabalgata reyes distrito este 2027</t>
  </si>
  <si>
    <t xml:space="preserve">4 DIAS </t>
  </si>
  <si>
    <t>suministro de alumbrado artistico  navidad dto este</t>
  </si>
  <si>
    <t xml:space="preserve">
• 31000000-6: 
• 31500000-1: 
• 34991000-0: 
• 71318100-1: 
</t>
  </si>
  <si>
    <t xml:space="preserve">servicio desarrollo de fiestas infantiles, dinamizacion y act. programa navidad </t>
  </si>
  <si>
    <t xml:space="preserve">79952000
92312000
32342410
31500000
31518600
71356200
</t>
  </si>
  <si>
    <t>DISTRITO 3 CIUDAD JARDÍN</t>
  </si>
  <si>
    <t>servicio de limpieza de dependencias municipales del distrito nº 3</t>
  </si>
  <si>
    <t xml:space="preserve">1º TRIM </t>
  </si>
  <si>
    <t>90919000
90919200
90911200</t>
  </si>
  <si>
    <t>26 MESES</t>
  </si>
  <si>
    <t>Concejalía Delegada de la Presidencia de la Junta Municipal del Distrito nº 3, Ciudad Jardín del Ayuntamiento de Málaga</t>
  </si>
  <si>
    <t>servicio de organización y desarrollo de actividades socioculturales y eventos en el distrito nº 3. ciudad jardín</t>
  </si>
  <si>
    <t>4º TRIM 2025</t>
  </si>
  <si>
    <t>79952100
79952000
79954000</t>
  </si>
  <si>
    <t>DISTRITO 4 BAILÉN-MIRAFLORES</t>
  </si>
  <si>
    <t>Concejalía Delegada de la Presidencia de la Junta Municipal del Distrito nº 4, Bailén Miraflores del Ayuntamiento de Málaga</t>
  </si>
  <si>
    <t>suministro de carpas mesas sillas vallas y postes separadores</t>
  </si>
  <si>
    <t>3º TRIM</t>
  </si>
  <si>
    <t xml:space="preserve">3931000-8 39113000-7 </t>
  </si>
  <si>
    <t>servicio de actividades navideñas</t>
  </si>
  <si>
    <t>79952000-292312130-1</t>
  </si>
  <si>
    <t>contratación del servicio de gestión y coordinación del evento pasacalles por la barriada miraflores distrito4 bailén miraflores con motivo de las fiestas de navidad el 4  de enero</t>
  </si>
  <si>
    <t xml:space="preserve">7995000-2  92312130-1 </t>
  </si>
  <si>
    <t>1 DÍA</t>
  </si>
  <si>
    <t>DISTRITO 5 PALMA-PALMILLA</t>
  </si>
  <si>
    <t>Concejalía Delegada de la Presidencia de la Junta Municipal del Distrito nº 5, Palma Palmilla</t>
  </si>
  <si>
    <t>Vigilante de seguridad</t>
  </si>
  <si>
    <t>79714000-2</t>
  </si>
  <si>
    <t>Proyecto hogar</t>
  </si>
  <si>
    <t>85320000-8</t>
  </si>
  <si>
    <t>Suministro de materiales</t>
  </si>
  <si>
    <t>44110000-4</t>
  </si>
  <si>
    <t>DISTRITO 6 CRUZ DE HUMILLADERO</t>
  </si>
  <si>
    <t>Concejalía Delegada de la Presidencia de la Junta Municipal del Distrito nº 6, Cruz de Humilladero del Ayuntamiento de Málaga</t>
  </si>
  <si>
    <t>Servicio de organización y desarrollo de actividades socioculturales y socioeducativas en el Distrito nº6 Cruz del Humilladero</t>
  </si>
  <si>
    <t>4º TRIM.2025</t>
  </si>
  <si>
    <t>79952100-3
79952000-2</t>
  </si>
  <si>
    <t>9 MESES</t>
  </si>
  <si>
    <t>Suministro en régimen de alquiler de diversas estructuras desmontables y equipamientos para la celebración de la Semana Cultural organizada por la Junta de Distrito 6 de Cruz del Humilladero</t>
  </si>
  <si>
    <t>4º TRIM. 2025</t>
  </si>
  <si>
    <t>44210000
34928200
34928310
39112000
45223800
45223820
45262110
45262120
44212320-8</t>
  </si>
  <si>
    <t>Mixto SUMINISTRO
- SERVICIOs</t>
  </si>
  <si>
    <t>Suministro en régimen de alquiler de sonido, iluminación y equipamiento para la celebración de los eventos socioculturales organizado por la Junta de Distrito 6 de Cruz del Humilladero</t>
  </si>
  <si>
    <t>31121000
51313000-9
32342410-9
31520000-7</t>
  </si>
  <si>
    <t>Contratación de agencia de artistas para la promoción de las actividades socioculturales en la Junta Municipal de Distrito nº 6 Cruz del Humilladero</t>
  </si>
  <si>
    <t>92312100
92312200-3</t>
  </si>
  <si>
    <t>Mejora e inclusión en el parque infantil de la Calle Argentea</t>
  </si>
  <si>
    <t>45233200-1
45432111-5
37535210-2</t>
  </si>
  <si>
    <t>3-4 MESES</t>
  </si>
  <si>
    <t>Servicio de Talleres de ocio, tiempo libre y deportivos de la Junta de Distrito Nº6 Cruz del Humilladero</t>
  </si>
  <si>
    <t xml:space="preserve">79952100-3 
85311300-5 
85311100-3 </t>
  </si>
  <si>
    <t>DISTRITO 7 CARRETERA DE CÁDIZ</t>
  </si>
  <si>
    <t>Servicio de actividades socio culturales para el Distrito 7 Carretera de Cádiz</t>
  </si>
  <si>
    <t>Sí</t>
  </si>
  <si>
    <t>85143000-3
79952000-2</t>
  </si>
  <si>
    <t>DISTRITO 8 CHURRIANA</t>
  </si>
  <si>
    <t>Concejalía Delegada de la Presidencia de la Junta Municipal del Distrito nº 8, Churriana</t>
  </si>
  <si>
    <t>suministro de estructuras desmontables para las fiestas san isidro labrador 2026</t>
  </si>
  <si>
    <t>44210000-44212320-45215500-45223800-45223820</t>
  </si>
  <si>
    <t>60 DIAS</t>
  </si>
  <si>
    <t xml:space="preserve">suministro de materiales diversos para la jmd 8 </t>
  </si>
  <si>
    <t>44866000-44316400-44115200-44111000-31600000-39800000</t>
  </si>
  <si>
    <t>contratación de agencia de espectáculos para actuaciones principales con motivo de las fiestas san isidro labrador 2026</t>
  </si>
  <si>
    <t>ampliación del  parque de calistenia en c/ rigoberta menchú</t>
  </si>
  <si>
    <t xml:space="preserve">2º TRIM.. </t>
  </si>
  <si>
    <t xml:space="preserve">OBRA </t>
  </si>
  <si>
    <t>creación de zona deportiva en pizarrillo</t>
  </si>
  <si>
    <t>2026-2027</t>
  </si>
  <si>
    <t xml:space="preserve">gestión de redes sociales en distrito 8 churriana </t>
  </si>
  <si>
    <t xml:space="preserve">3ºTRIM. </t>
  </si>
  <si>
    <t>DISTRITO 9 CAMPANILLAS</t>
  </si>
  <si>
    <t>Concejalía Delegada de la Presidencia de la Junta Municipal del Distrito nº 9, Campanillas</t>
  </si>
  <si>
    <t>servicio de alquiler e instalación y desmontaje de estructuras desmontables para eventos 2026</t>
  </si>
  <si>
    <t>Concejalía Delegada del Área Específica de Contratación Pública Estratégica </t>
  </si>
  <si>
    <t>servicio de organización de actividades socioculturales y eventos 2026 (romería, feria y navidad)</t>
  </si>
  <si>
    <t>79952100; 92312130; 92312250</t>
  </si>
  <si>
    <t xml:space="preserve">servicio de vigilancia y limpieza de infraestructuras de eventos 2026 </t>
  </si>
  <si>
    <t>90900000
90920000
79714000</t>
  </si>
  <si>
    <t>modulo fijo para actividades cubiertas en bda. las casteñetas</t>
  </si>
  <si>
    <t xml:space="preserve">31731100-0
</t>
  </si>
  <si>
    <t>microactuaciones acerado y asfaltado y pistas deportivas</t>
  </si>
  <si>
    <t>45233340-4
45212290-5</t>
  </si>
  <si>
    <t>-</t>
  </si>
  <si>
    <t>mobiliario urbano</t>
  </si>
  <si>
    <t>34928400-2</t>
  </si>
  <si>
    <t>2 semanas</t>
  </si>
  <si>
    <t>fondos bibliográficos</t>
  </si>
  <si>
    <t>farolas solares</t>
  </si>
  <si>
    <t>09330000
09331200</t>
  </si>
  <si>
    <t>DISTRITO 10 PUERTO DE LA TORRE</t>
  </si>
  <si>
    <t>Servicio de organización de las actividades socioculturales del Distrito 10</t>
  </si>
  <si>
    <t>79954000 37529000 92331210</t>
  </si>
  <si>
    <t>DISTRITO 11 TEATINOS-UNIVERSIDAD</t>
  </si>
  <si>
    <t>Concejalía Delegada de la Presidencia de la Junta Municipal del Distrito nº 11, Teatinos-Universidad </t>
  </si>
  <si>
    <t>Feria del Distrito 11</t>
  </si>
  <si>
    <t>4 DIAS</t>
  </si>
  <si>
    <t>Artista principal por exclusividad Feria del Distrito 11</t>
  </si>
  <si>
    <t>Control de acceso vehículos Bda. Cortijo Alto Feria de Málaga</t>
  </si>
  <si>
    <t>54 DIAS</t>
  </si>
  <si>
    <t>Producción artística</t>
  </si>
  <si>
    <t>5 DIAS</t>
  </si>
  <si>
    <t>Celebración de actividades navideñas</t>
  </si>
  <si>
    <t>35 DÍAS</t>
  </si>
  <si>
    <t>Pasacalle de Reyes 2027 Distrito 11</t>
  </si>
  <si>
    <t>4º TRIM</t>
  </si>
  <si>
    <t>ECONOMÍA Y HACIENDA</t>
  </si>
  <si>
    <t xml:space="preserve">Asesoramiento fiscal, tributario y financiero </t>
  </si>
  <si>
    <t>79220000 Servicios fiscales</t>
  </si>
  <si>
    <t>Estudio comparativo sobre Presupuestos Municipales</t>
  </si>
  <si>
    <t>79330000 Servicios Estadísticos</t>
  </si>
  <si>
    <t>EDUCACIÓN</t>
  </si>
  <si>
    <t xml:space="preserve">servicio de control de acceso e información básica de las salas de estudio área de educación </t>
  </si>
  <si>
    <t xml:space="preserve">contratación del servicio de asistencia técnica para el desarrollo de la herramienta de gestión de los programas educativos del área de educación </t>
  </si>
  <si>
    <t>Concejalía Delegada de Educación y Fomento del Empleo</t>
  </si>
  <si>
    <t>servicio de mantenimiento de los sistemas de alarmas de robo, servicios de recepción y atención de alarmas, vigilancia cctv, custodia de llaves y acuda en la sala de estudio avenida ingeniero josé maría garnica del área de educación</t>
  </si>
  <si>
    <t>servicio impartición talleres área de educación</t>
  </si>
  <si>
    <t>ESPAM</t>
  </si>
  <si>
    <t>Concejalía delegada del Área de Seguridad</t>
  </si>
  <si>
    <t>consultoría de calidad EFQM</t>
  </si>
  <si>
    <t>79419000-4</t>
  </si>
  <si>
    <t>Material de Ferretería para alumnos de bomberos</t>
  </si>
  <si>
    <t>44316500-2</t>
  </si>
  <si>
    <t>uniformidad para alumnos de la policía</t>
  </si>
  <si>
    <t>35811200-4</t>
  </si>
  <si>
    <t>Adquisición de munición</t>
  </si>
  <si>
    <t>35331000-7</t>
  </si>
  <si>
    <t>Reparación de la cubierta del edificio deportivo</t>
  </si>
  <si>
    <t>45261920-0</t>
  </si>
  <si>
    <t>Suministro material de rescate</t>
  </si>
  <si>
    <t>35113400-3</t>
  </si>
  <si>
    <t>GESTIÓN FONDOS EUROPEOS</t>
  </si>
  <si>
    <t>Comunicación Fondos UE</t>
  </si>
  <si>
    <t>79340000-9 79341000-6
79341100-7 79341200-8
79341400-0</t>
  </si>
  <si>
    <t>Obras renaturalización cubierta edificio OMAU</t>
  </si>
  <si>
    <t>45262690-4 454421110-1
45453100-8</t>
  </si>
  <si>
    <t>Renovación equipos salón de actos edificio OMAU</t>
  </si>
  <si>
    <t>32320000
32321200 
32321300
32324000</t>
  </si>
  <si>
    <t>Concejalía Delegada del Área Específica para la Gestión de Fondos de la Unión Europea del Ayuntamiento de Málaga</t>
  </si>
  <si>
    <t>Control de asistencia edificio OMAU</t>
  </si>
  <si>
    <t>Agencia de viajes Fondos UE</t>
  </si>
  <si>
    <t>63510000-7 63511000-4 63512000-1 63513000-8 63514000-5 63515000-2 63516000-9 63520000-0</t>
  </si>
  <si>
    <t>Obras rehabilitación energética edificio OMAU</t>
  </si>
  <si>
    <t>Redacción de proyecto, dirección de obra y seguridad y salud de obras rehabilitación energética edificio OMAU</t>
  </si>
  <si>
    <t>71221000-3</t>
  </si>
  <si>
    <t>IGUALDAD</t>
  </si>
  <si>
    <t>servicio de organización de eventos y actividades socio-culturales impulsados por la sección de igualdad del ayuntamiento de málaga</t>
  </si>
  <si>
    <t>79952100     79822500    92000000    92312100</t>
  </si>
  <si>
    <t xml:space="preserve"> servicios apoyo técnico y dinamizador iv estrategia transversal</t>
  </si>
  <si>
    <t xml:space="preserve"> 98200000-5 </t>
  </si>
  <si>
    <t>INNOVACIÓN</t>
  </si>
  <si>
    <t>Concejalía Delegada del Área Específica de Innovación, Digitalización Urbana, Promoción de la Inversión Tecnológica y Empresarial y Captación de Inversiones</t>
  </si>
  <si>
    <t>mantenimiento y soporte productos software absys</t>
  </si>
  <si>
    <t>72267000-4</t>
  </si>
  <si>
    <t>servicio de redacción de proyectos, dirección de obras y coordinación de seguridad y salud para la ejecución de 66 instalaciones fotovoltaicas destinadas a autoconsumo colectivo en edificios municipales.</t>
  </si>
  <si>
    <t xml:space="preserve">71242000-6 
71520000-9 
71317200-5
71356200-1 </t>
  </si>
  <si>
    <t>mant. SAI's del CPD</t>
  </si>
  <si>
    <t xml:space="preserve">50532000-3 </t>
  </si>
  <si>
    <t>soporte y mantenimiento de licencias netbackup</t>
  </si>
  <si>
    <t xml:space="preserve">72267000-4 </t>
  </si>
  <si>
    <t>MIXTO SUMINISTRO-SERVICIO</t>
  </si>
  <si>
    <t>a. t. gestión sistemas plataforma system z</t>
  </si>
  <si>
    <t>30211000-1 
72220000- 3</t>
  </si>
  <si>
    <t>servidores</t>
  </si>
  <si>
    <t xml:space="preserve">48820000-2 </t>
  </si>
  <si>
    <t xml:space="preserve">ampliación cabina de discos de alto rendimiento </t>
  </si>
  <si>
    <t xml:space="preserve">30234000-5 </t>
  </si>
  <si>
    <t>wifi primera fase bibliotecas</t>
  </si>
  <si>
    <t xml:space="preserve">32420000-3 
32510000-1 
32410000-0 </t>
  </si>
  <si>
    <t>renovación equipamiento firewall</t>
  </si>
  <si>
    <t>32424000-1</t>
  </si>
  <si>
    <t>servicio de mantenimiento de plataforma omnicanal de gestión de citas previas y atención ciudadana (next generation eu)</t>
  </si>
  <si>
    <t>servicio de mantenimiento de  asistentes conversacionales en canales de voz y web del ayto de málaga (next generation eu)</t>
  </si>
  <si>
    <t>ordenadores portátiles, ordenadores personales y pantallas led</t>
  </si>
  <si>
    <t xml:space="preserve">3021300-6 
30213000-5 
30231310-3 </t>
  </si>
  <si>
    <t>servicio de consultoria y asistencia técnica para evolución y mejora de los procesos participativos de la plataforma de paricipación ciudadana, basada en consul democracy</t>
  </si>
  <si>
    <t>72266000-7 Servicio de consultoria de software</t>
  </si>
  <si>
    <t>adquisición de baterias para sai</t>
  </si>
  <si>
    <t>31440000-2 Baterias</t>
  </si>
  <si>
    <t>mantenimiento licencia de uso producto elixir technologies designpro tools for app</t>
  </si>
  <si>
    <t>mantenimiento y soporte productos software albalá</t>
  </si>
  <si>
    <t>reparación y conservación de rótulos de callejero</t>
  </si>
  <si>
    <t>45233294-6</t>
  </si>
  <si>
    <t>mantenimiento de la red corportativa inalámbrica del ayuntamiento de málaga</t>
  </si>
  <si>
    <t xml:space="preserve">50312300-8 </t>
  </si>
  <si>
    <t>mantenimiento del software de registro y confección de actas en soporte eléctronico</t>
  </si>
  <si>
    <t xml:space="preserve">50324100-3 - </t>
  </si>
  <si>
    <t>servicio de operación y control de los actos institucionales que se celebren en el salón de plenos del ayuntamiento de málaga</t>
  </si>
  <si>
    <t>mantenimiento del programario software ag</t>
  </si>
  <si>
    <t>mantenimiento del bentley</t>
  </si>
  <si>
    <t>alquiler de productos mainframe ca</t>
  </si>
  <si>
    <t xml:space="preserve">48621000-7 - </t>
  </si>
  <si>
    <t>mantenimiento cortafuegos de segundo nivel de la red corporativa de datos del ayuntamiento de málaga (checkpoint)</t>
  </si>
  <si>
    <t>asistencia técnica servicios de soporte productos microsoft</t>
  </si>
  <si>
    <t>72260000-5
 72265000-0 
72266000-7</t>
  </si>
  <si>
    <t>mantenimiento y soporte tecnico especializado sistema de firewall de fortinet</t>
  </si>
  <si>
    <t>mantenimiento balanceador de red f5</t>
  </si>
  <si>
    <t xml:space="preserve">50334400-9 </t>
  </si>
  <si>
    <t>MIXTO: SUMINISTRO y SERVICIO</t>
  </si>
  <si>
    <t>suministro, mantenimiento y reparación de puntos de red</t>
  </si>
  <si>
    <t xml:space="preserve">50312300-8 
 32421000-0 </t>
  </si>
  <si>
    <t>mobiliario para centro demostrador</t>
  </si>
  <si>
    <t xml:space="preserve">39000000-2 </t>
  </si>
  <si>
    <t xml:space="preserve">traslado sala de control audivisual y comunicaciones </t>
  </si>
  <si>
    <t>45311000-0</t>
  </si>
  <si>
    <t>1 mes</t>
  </si>
  <si>
    <t>mantenimiento licencias software entire x</t>
  </si>
  <si>
    <t>Servicios de desarrollo y validación de la plataforma “Málaga Abierta”,</t>
  </si>
  <si>
    <t xml:space="preserve"> 72262000-9 </t>
  </si>
  <si>
    <t>30 MESES</t>
  </si>
  <si>
    <t>mantenimiento licencias software antivirus</t>
  </si>
  <si>
    <t>sala de operaciones del centro de ciberseguridad ciudad de málaga</t>
  </si>
  <si>
    <t xml:space="preserve">35125100 
45314000 
72000000 </t>
  </si>
  <si>
    <t>vehiculos para servicio tecnico area innovación</t>
  </si>
  <si>
    <t>material informático para mantenimiento de equipos</t>
  </si>
  <si>
    <t>30200000-1</t>
  </si>
  <si>
    <t>cartuchos lt09 para librería de copias</t>
  </si>
  <si>
    <t xml:space="preserve">30237350-7 </t>
  </si>
  <si>
    <t>mantenimiento licencia red hat enterprise linux for virtual datacenters</t>
  </si>
  <si>
    <t>mantenimiento y soporte técnico licencias de software promodag enterprise</t>
  </si>
  <si>
    <t>asistencia técnica auditoria técnica ciberseguridad (web, pentesting, etc)</t>
  </si>
  <si>
    <t xml:space="preserve">3º TRIM. </t>
  </si>
  <si>
    <t>72810000-1
72150000-1</t>
  </si>
  <si>
    <t>asistencia técnica consultoría y auditoría ens</t>
  </si>
  <si>
    <t>72810000-1 -
72150000-1-
79140000 -</t>
  </si>
  <si>
    <t>asistencia técnica auditorías rgpd, ayuntamiento y organismos públicos</t>
  </si>
  <si>
    <t xml:space="preserve">72810000 
79140000  </t>
  </si>
  <si>
    <t>operaciones de ciberseguridad ampliadas</t>
  </si>
  <si>
    <t xml:space="preserve">72000000-5 
48517000-5 </t>
  </si>
  <si>
    <t>mantenimiento de software de control horario wcronos</t>
  </si>
  <si>
    <t>mantenimiento y soporte licencias de software de base de datos oracle</t>
  </si>
  <si>
    <t>alquiler licencias uso software de virtualización del puesto de trabajo uds enterprise</t>
  </si>
  <si>
    <t xml:space="preserve">4º TRIM. </t>
  </si>
  <si>
    <t>48514000-4</t>
  </si>
  <si>
    <t>alquiler licencia corporativa productos tecnológicos hexagon-integraph</t>
  </si>
  <si>
    <t>48326000-9</t>
  </si>
  <si>
    <t>alquiler  del software de virtualización vmvare</t>
  </si>
  <si>
    <t xml:space="preserve">48000000-8 </t>
  </si>
  <si>
    <t>JUVENTUD</t>
  </si>
  <si>
    <t>servicio de intervención socioeducativa para dinamización juvenil en los distritos centro, ciudad jardin y cruz de humilladero dentro del pai convocatoria edil con financiación europea</t>
  </si>
  <si>
    <t>4 º TRIM. 2025</t>
  </si>
  <si>
    <t xml:space="preserve">92000000-1 </t>
  </si>
  <si>
    <t>SI (3)</t>
  </si>
  <si>
    <t>Concejalía Delegada de Juventud del Ayuntamiento de Málaga.</t>
  </si>
  <si>
    <t>servicio de montaje, desmontaje y transporte de exposiciones temporales a celebrar en el centro multidisciplinar para jóvenes del área de juventud “la caja blanca"</t>
  </si>
  <si>
    <t xml:space="preserve">
79956000</t>
  </si>
  <si>
    <t>SÍ (3)</t>
  </si>
  <si>
    <t>servicio para la gestión del programa festival “los jueves del ocón – festijoven 2026” en la ciudad de málaga</t>
  </si>
  <si>
    <t xml:space="preserve">79952100-3 
79952100
79954000 
92000000-1  
92300000- 4 
92310000 
92312100 </t>
  </si>
  <si>
    <t>SÍ (1)</t>
  </si>
  <si>
    <t>servicio de mantenimiento preventivo y reparación de instalaciones y equipamiento del centro multidisciplinar para jóvenes del área de juventud "la caja blanca"</t>
  </si>
  <si>
    <t xml:space="preserve"> 50000000
50700000</t>
  </si>
  <si>
    <t>servicio para certificaciones técnicas de instalaciones para celebracion de espectáculos</t>
  </si>
  <si>
    <t>71310000
71300000
71320000 
71340000</t>
  </si>
  <si>
    <t>MOVILIDAD</t>
  </si>
  <si>
    <t>Señalización y Balizamiento de los Aparcamientos
y Accesos del Recinto Ferial y de los Desvíos de Tráfico con motivo de la Feria de Agosto en la
ciudad de Málaga en las anualidades de 2026 a 2029.",</t>
  </si>
  <si>
    <t xml:space="preserve">50230000-6  </t>
  </si>
  <si>
    <t xml:space="preserve"> sistema de bicicleta pública</t>
  </si>
  <si>
    <t>50111100
34422000
50100000</t>
  </si>
  <si>
    <t>Concejalía Delegada del Área Específica de Movilidad</t>
  </si>
  <si>
    <t>Vigilancia y control en paradas de taxi durante la realización de eventos</t>
  </si>
  <si>
    <t xml:space="preserve">79714000-2 </t>
  </si>
  <si>
    <t>Arrendamiento mediante renting sin conductor de un vehículo híbrido para el Área de Movilidad</t>
  </si>
  <si>
    <t>PARTICIPACIÓN CIUDADANA</t>
  </si>
  <si>
    <t>Concejalía Delegada del Área de Participación Ciudadana, Migración, Acción Exterior, Cooperación al Desarrollo, Transparencia y Buen Gobierno</t>
  </si>
  <si>
    <t>Servicio de organización y gestión del evento de Magia de la Palabra</t>
  </si>
  <si>
    <t>79952000-2</t>
  </si>
  <si>
    <t>SERVICIO/ SUMINISTRO</t>
  </si>
  <si>
    <t>Servicio de diseño, maquetación, publicidad e impresión de material y cartelería para difusión de acciones y eventos y suministro de material publicitario y promocional para las actividades del Área de Participación Ciudadana</t>
  </si>
  <si>
    <t xml:space="preserve">22462000-6 
79341000-6: 
39294100-0 </t>
  </si>
  <si>
    <t>Servicio para el impulso de la transición digital, la capacitación tecnológica y la reducción de la brecha digital en el ámbito asociativo de Málaga</t>
  </si>
  <si>
    <t xml:space="preserve">80500000-9 
80533100-0 </t>
  </si>
  <si>
    <t>no</t>
  </si>
  <si>
    <t>Servicio para el diseño, implementación y gestión de la Escuela de Innovación Social del Ayuntamiento de Málaga</t>
  </si>
  <si>
    <t xml:space="preserve">98133100-5 </t>
  </si>
  <si>
    <t>Servicio de auditoría (first level control) del programa URBACT</t>
  </si>
  <si>
    <t xml:space="preserve">79212200-5 </t>
  </si>
  <si>
    <t>Acuerdo marco para la adquisición de mobiliario y complementos al mobiliario para las diversas áreas y distritos municipales y para los centros ciudadanos municipales</t>
  </si>
  <si>
    <t xml:space="preserve">39100000-3 
39200000-4 
39515430-8 
39515440-1 
31521100-5 
31521200-6 </t>
  </si>
  <si>
    <t>Servicio de coordinación, organización y comunicación para el proyecto Human Power Hub - programa URBACT</t>
  </si>
  <si>
    <t xml:space="preserve">75130000-6 </t>
  </si>
  <si>
    <t>1,5 AÑOS</t>
  </si>
  <si>
    <t>Servicio de apoyo para la actualización y seguimiento del censo de locales y equipamiento municipales asociativos</t>
  </si>
  <si>
    <t xml:space="preserve"> 71356300-1 
 72320000-4 </t>
  </si>
  <si>
    <t>POLICÍA LOCAL</t>
  </si>
  <si>
    <t>Concejalía Delegada del Área de Seguridad</t>
  </si>
  <si>
    <t xml:space="preserve">menus feria </t>
  </si>
  <si>
    <t>55300000-3</t>
  </si>
  <si>
    <t>9 DÍAS</t>
  </si>
  <si>
    <t>menús semana santa</t>
  </si>
  <si>
    <t>6 DÍAS</t>
  </si>
  <si>
    <t>condecoraciones</t>
  </si>
  <si>
    <t>mantenimiento cctv</t>
  </si>
  <si>
    <t xml:space="preserve">mantenimiento e itv flota vehículos policía local </t>
  </si>
  <si>
    <t>50115000-4 
50112000-3
50112300-6</t>
  </si>
  <si>
    <t>suministro de vestuario</t>
  </si>
  <si>
    <t>18300000-2</t>
  </si>
  <si>
    <t xml:space="preserve">comida para la unidad canina </t>
  </si>
  <si>
    <t>15710000-8</t>
  </si>
  <si>
    <t>chalecos de protección individual</t>
  </si>
  <si>
    <t>estudio e instalación. comunicaciones de radio en zona este y churriana</t>
  </si>
  <si>
    <t>32200000-5</t>
  </si>
  <si>
    <t>vallas de señalización</t>
  </si>
  <si>
    <t>34928200-0</t>
  </si>
  <si>
    <t>suministro de menús para los actos de celebración día del patrón</t>
  </si>
  <si>
    <t>cámaras diferentes espacios de la ciudad</t>
  </si>
  <si>
    <t>limpieza jefatura central</t>
  </si>
  <si>
    <t>90911200-8</t>
  </si>
  <si>
    <t>PREVENCIÓN Y EXTINCIÓN DE INCENDIOS</t>
  </si>
  <si>
    <t xml:space="preserve">epis para el bombero </t>
  </si>
  <si>
    <t xml:space="preserve">18220000-7 </t>
  </si>
  <si>
    <t>útiles y herramientas para el bombero</t>
  </si>
  <si>
    <t xml:space="preserve">42600000-2 
35112000-2 </t>
  </si>
  <si>
    <t>banco de pruebas para equipos respiratorios del bombero</t>
  </si>
  <si>
    <t xml:space="preserve">33157800-3 </t>
  </si>
  <si>
    <t>SUMINISTRO-SERVICIO</t>
  </si>
  <si>
    <t>remolques y reposición y adecuación de vehículos de bomberos</t>
  </si>
  <si>
    <t>trajes de gala para el bombero</t>
  </si>
  <si>
    <t>18400000-3</t>
  </si>
  <si>
    <t xml:space="preserve">redacción de proyectos y estudios de seguridad y salud de obras de mejora en parques de bomberos y dependencias anexas </t>
  </si>
  <si>
    <t>71240000-2</t>
  </si>
  <si>
    <t>mobiliario para parques de bomberos</t>
  </si>
  <si>
    <t>39143000-6 
39200000-4
44421720</t>
  </si>
  <si>
    <t xml:space="preserve">servicios sanitarios: dispositivos de semana santa </t>
  </si>
  <si>
    <t>85143000-3
34221000-2
44613400-4
34928310-4
39522100</t>
  </si>
  <si>
    <t>arrendamiento botellas oxigeno</t>
  </si>
  <si>
    <t xml:space="preserve">24111500-0
24111900-4 </t>
  </si>
  <si>
    <t>mantenimiento preventivo y correctivo de edificios, maquinarias e instalaciones en parques de bomberos y cme (incluso grupos electrógenos)</t>
  </si>
  <si>
    <t xml:space="preserve">50700000-2 
50800000-3 </t>
  </si>
  <si>
    <t>mantenimiento equipos respiratorios y compresores tea</t>
  </si>
  <si>
    <t>gestion informatica recursos personales y materiales de bomberos (sos)</t>
  </si>
  <si>
    <t>72267100
72212900
72310000</t>
  </si>
  <si>
    <t>hidrantes</t>
  </si>
  <si>
    <t xml:space="preserve">50413200-5
</t>
  </si>
  <si>
    <t>limpieza de equipos de protección individual del bombero</t>
  </si>
  <si>
    <t>90910000-9</t>
  </si>
  <si>
    <t>suministro de material fungible (ferretería, eléctricos,etc)</t>
  </si>
  <si>
    <t>34330000-9 
35121300-1</t>
  </si>
  <si>
    <t>suministro de material de limpieza</t>
  </si>
  <si>
    <t xml:space="preserve">39800000-0 </t>
  </si>
  <si>
    <t>vehiculos de emergencia para bomberos</t>
  </si>
  <si>
    <t>34114100-0</t>
  </si>
  <si>
    <t>18 MESES</t>
  </si>
  <si>
    <t>equipos de transmisiones para el bombero</t>
  </si>
  <si>
    <t>32237000-3
32344240-0</t>
  </si>
  <si>
    <t>equipamiento para la banda de bomberos</t>
  </si>
  <si>
    <t xml:space="preserve">37310000-4 </t>
  </si>
  <si>
    <t>equipamiento para los gimnasios de los parques de bomberos</t>
  </si>
  <si>
    <t xml:space="preserve">37420000-8 </t>
  </si>
  <si>
    <t>formación bomberos</t>
  </si>
  <si>
    <t>80550000-4</t>
  </si>
  <si>
    <t>legionella</t>
  </si>
  <si>
    <t>PROTECCIÓN CIVIL</t>
  </si>
  <si>
    <t>EPIS varios nuevos y reposición (chalecos anticorte, equipamiento ignífugo, trajes vadeo, etc.). 
EPIS para técnicos voluntarios en emergencias</t>
  </si>
  <si>
    <t>35815100-1
35113400-3
18143000-3</t>
  </si>
  <si>
    <t>Complementos AVPC (carretilla escaleras, lavadora, tendedero, arrancador booster, complementos de utillaje tecnológico para cámaras de foto y video)</t>
  </si>
  <si>
    <t xml:space="preserve">2º TRIM. </t>
  </si>
  <si>
    <t>32351000-8 y otros</t>
  </si>
  <si>
    <t>2 Uds Motocicletas rotuladas y equipadas</t>
  </si>
  <si>
    <t>34410000-4</t>
  </si>
  <si>
    <t>Equipamiento intervención DANAs (bombas, mangas, hidrolimpiadoras, grupos de agua a presión, remolque específico material, etc.</t>
  </si>
  <si>
    <t>42120000-6 42924730-5</t>
  </si>
  <si>
    <t>RECURSOS HUMANOS</t>
  </si>
  <si>
    <t>Contratación de un Servicio de Prevención Ajeno de la especialidad preventiva de Medicina del Trabajo para la prestación íntegra de la actividad preventiva de vigilancia de la salud</t>
  </si>
  <si>
    <t>CPV 85147000-1 y accesorio 85323000-9</t>
  </si>
  <si>
    <t>2 AÑOS + 3 AÑOS de prórroga. Total 5 AÑOS</t>
  </si>
  <si>
    <t>Realización de auditorías externas de certificación de los sistemas de gestión de los departamentos municipales del Ayuntamiento de Málaga</t>
  </si>
  <si>
    <t>79132000-8</t>
  </si>
  <si>
    <t>Evaluación de la Satisfacción a la ciudadanía y otros Grupos de Interés en diferentes departamentos municipales o en toda la organización municipal</t>
  </si>
  <si>
    <t xml:space="preserve">79311210-2 
79320000-3 
79342310-9
79342311-6 </t>
  </si>
  <si>
    <t>1+1+1+1</t>
  </si>
  <si>
    <t>Concejalía Delegada de Recursos Humanos y Calidad</t>
  </si>
  <si>
    <t>Mantenimiento del lector óptico de marcas del Servicio de Personal</t>
  </si>
  <si>
    <t xml:space="preserve">50000000-5 </t>
  </si>
  <si>
    <t>1 AÑO prorrogable por otro más</t>
  </si>
  <si>
    <t>PRIVADO
SERVICIO</t>
  </si>
  <si>
    <t>seguro colectivo de vida/incapacidad y accidentes para los miembros de la corporacion del excmo. ayuntamiento de málaga</t>
  </si>
  <si>
    <t>66511000-S</t>
  </si>
  <si>
    <t>1+1</t>
  </si>
  <si>
    <t>seguro colectivo de asistencia sanitaria para el personal al servicio del excmo. ayuntamiento de málaga</t>
  </si>
  <si>
    <t>66512200-4
66512210-7
66512220-0</t>
  </si>
  <si>
    <t>servicio de mediación de seguros para el excmo. ayuntamiento de málaga</t>
  </si>
  <si>
    <t>66518100-5
66519310-7</t>
  </si>
  <si>
    <t>SECRETARÍA TÉCNICA DE LA JGL</t>
  </si>
  <si>
    <t>pólizas de seguro de todo riesgo de daños de bienes del excmo. ayuntamiento de málaga: 
lote 1.-seguro para bienes muebles e inmuebles; 
lote 2.- seguro para bienes histórico-artísticos</t>
  </si>
  <si>
    <t xml:space="preserve">66500000-5 
66510000-8 
66515000-3 </t>
  </si>
  <si>
    <t>SERVICIOS OPERATVOS</t>
  </si>
  <si>
    <t>ConcejalÍa delegada Contratación Pública Estratégica</t>
  </si>
  <si>
    <t>Nuevo control de acceso (antiguo 156/20)</t>
  </si>
  <si>
    <t>98341130-5</t>
  </si>
  <si>
    <t>3 AÑOS+2</t>
  </si>
  <si>
    <t>Nueva agencia de espectáculos (Feria y otros eventos 2026-2027</t>
  </si>
  <si>
    <t>16 MESES</t>
  </si>
  <si>
    <t>Tenencia de Alcaldía Delegada del Área Específica de Servicios Operativos, Régimen Interior, Playas y Fiestas</t>
  </si>
  <si>
    <t>Espectaculo piromusical San Juan y Feria 2026</t>
  </si>
  <si>
    <t>92360000-2</t>
  </si>
  <si>
    <t>2 días</t>
  </si>
  <si>
    <t>Servicio de limpieza edificio usos múltiples</t>
  </si>
  <si>
    <t>3 AÑOS+1+1</t>
  </si>
  <si>
    <t>Suministro 8 unidades de torres de vigilanica</t>
  </si>
  <si>
    <t>1 AÑO+1</t>
  </si>
  <si>
    <t>Suministro de 3 módulos de aseos</t>
  </si>
  <si>
    <t>Suministro 100 unidades de cartelería</t>
  </si>
  <si>
    <t>Suministro 10 sillas anfibias accesibilidad</t>
  </si>
  <si>
    <t>Suministro  7 gruas para accesibilidad</t>
  </si>
  <si>
    <t>Pozos y bases drenantes para las duchas y lavapiés</t>
  </si>
  <si>
    <t>15 unidades de bancos para duchas</t>
  </si>
  <si>
    <t>10 unidades duchas</t>
  </si>
  <si>
    <t>Mantenimiento reloj monumental Casa Consistorial</t>
  </si>
  <si>
    <t>50432000-2</t>
  </si>
  <si>
    <t>Mantenimiento centro de transformación</t>
  </si>
  <si>
    <t>45317200-4</t>
  </si>
  <si>
    <t>3+1+1</t>
  </si>
  <si>
    <t>Suministro de portes</t>
  </si>
  <si>
    <t>60180000-3</t>
  </si>
  <si>
    <t>1 AÑO(1+1+1)</t>
  </si>
  <si>
    <t>Concejala delegada Contratación Pública Estratégica</t>
  </si>
  <si>
    <t>Mantenimiento de sistemas contra incendios</t>
  </si>
  <si>
    <t>50413200-5</t>
  </si>
  <si>
    <t>3 AÑO+1+1</t>
  </si>
  <si>
    <t>Suministro de equipos climatización</t>
  </si>
  <si>
    <t>39717200-3</t>
  </si>
  <si>
    <t>Servicio de mantenimiento preventivo, correctivo de grupos electrógenos instalados en los edificios del Ayuntamiento de Málaga</t>
  </si>
  <si>
    <t>SOSTENIBILIDAD MEDIOAMBIENAL</t>
  </si>
  <si>
    <t>Concejalía Delegada del Área Específica de Contratación Estratégica</t>
  </si>
  <si>
    <t>suministro de elementos para la adaptación de la infraestructura hidráulica de riego de zonas verdes a la reglamentación para la prevención de la legionelosis</t>
  </si>
  <si>
    <t>ULTIMO TRIM. 2025 (TRAMITACIÓN ANTICIPADA)</t>
  </si>
  <si>
    <t xml:space="preserve">43328100-9 </t>
  </si>
  <si>
    <t>servicio de mantenimiento y explotación de la red de medición de calidad del aire y control del ruido del ayuntamiento de málaga</t>
  </si>
  <si>
    <t>ÚLTIMO TRIM. 2025 (TRAMITACIÓN ANTICIPADA)</t>
  </si>
  <si>
    <t>90731100-1</t>
  </si>
  <si>
    <t>2 AÑOS + 3 PRÓRROGA</t>
  </si>
  <si>
    <t>la realización de un conjunto integrado de actuaciones técnicas, educativas y de visualización pública destinadas a evaluar, sensibilizar y generar conocimiento sobre el confort climático urbano y la mitigación de islas de calor en la ciudad de málaga, con entrega de material divulgativo, en el marco del proyecto europeo pathways2resilience (p2r).</t>
  </si>
  <si>
    <t>4º TRIM. 2025 (TRAMITACIÓN ANTICIPADA)</t>
  </si>
  <si>
    <t xml:space="preserve">71313000-5 </t>
  </si>
  <si>
    <t>realización de auditorías energéticas y estudio de indicadores de resiliencia climática de dieciséis edificios municipales en el marco del proyecto europeo remed</t>
  </si>
  <si>
    <t>Concejal Delegada de Sostenibilidad Medioambiental</t>
  </si>
  <si>
    <t>arrendamiento mediante renting de vehículo eléctrico para el área de sostenibilidad medioambiental</t>
  </si>
  <si>
    <t xml:space="preserve">34100000
</t>
  </si>
  <si>
    <t>servicio de control de animales abandonados y perdidos en el municipio de málaga</t>
  </si>
  <si>
    <t xml:space="preserve">
85200000</t>
  </si>
  <si>
    <t>3 AÑOS + 2 PRÓRROGA</t>
  </si>
  <si>
    <t xml:space="preserve">“control poblacional de determinadas aves en el término municipal de málaga </t>
  </si>
  <si>
    <t>prestación de un servicio de esterilización a los gatos integrantes de las colonias felinas existentes en el término municipal malagueño</t>
  </si>
  <si>
    <t>85200000-1</t>
  </si>
  <si>
    <t>suministro de medicamentos y material veterinario para el cepam</t>
  </si>
  <si>
    <t xml:space="preserve">33690000-3 </t>
  </si>
  <si>
    <t>servicio de gestión de residuos procedentes del centro zoosanitario municipal</t>
  </si>
  <si>
    <t xml:space="preserve">90524100 – 7 </t>
  </si>
  <si>
    <t>prestación de un servicio de esterilización/castración y atención clínica de los perros y gatos alojados en el centro protección municipal (cepam</t>
  </si>
  <si>
    <t xml:space="preserve">85200000-1 </t>
  </si>
  <si>
    <t>suministro instrumental quirófano para el cepam</t>
  </si>
  <si>
    <t xml:space="preserve">33160000-9 </t>
  </si>
  <si>
    <t>adquisición de material fungible necesario para el desempeño de las labores de inspección sanitaria del negociado control calidad de aguas</t>
  </si>
  <si>
    <t>33100000  
33140000  
33696500</t>
  </si>
  <si>
    <t>1 AÑO +1 PRÓRROGA</t>
  </si>
  <si>
    <t>servicio de traducción de textos de la audioguía del jardín botánico-histórico ´la concepción</t>
  </si>
  <si>
    <t xml:space="preserve">79530000-8 </t>
  </si>
  <si>
    <t>Concejal Delegada del Área Específica de Contratación Estratégica</t>
  </si>
  <si>
    <t>servicio de conservación-mantenimiento zonas verdes y arbolado j.botánico</t>
  </si>
  <si>
    <t>77311000
92531000</t>
  </si>
  <si>
    <t>servicio de gestión de venta de entradas online</t>
  </si>
  <si>
    <t xml:space="preserve">
72212481</t>
  </si>
  <si>
    <t>suministro de abono y sustrato</t>
  </si>
  <si>
    <t>03120000-8</t>
  </si>
  <si>
    <t>obras de restauración casa palacio-aseos visitantes jardín botánico</t>
  </si>
  <si>
    <t xml:space="preserve">45454100 - </t>
  </si>
  <si>
    <t>obras de construcción de depósito de regulación de agua para riego en cl alcalde tomás domínguez</t>
  </si>
  <si>
    <t xml:space="preserve">45232152-2 </t>
  </si>
  <si>
    <t>7  MESES</t>
  </si>
  <si>
    <t>SUMNISTRO</t>
  </si>
  <si>
    <t>suministro de equipos de automatización de riego de zonas verdes</t>
  </si>
  <si>
    <t xml:space="preserve">48921000-0 </t>
  </si>
  <si>
    <t>obras de construcción de depósito de regulación de agua para riego en puente juan pablo ii</t>
  </si>
  <si>
    <t>obras de construcción de depósito de regulación de agua para riego en av. moliere</t>
  </si>
  <si>
    <t>suministros equipos biosaludables</t>
  </si>
  <si>
    <t xml:space="preserve">37442000-8 </t>
  </si>
  <si>
    <t>acuerdo marco acondicionamiento y mejora parques infantiles e instalación de pavimentos</t>
  </si>
  <si>
    <r>
      <t>LOTE 1</t>
    </r>
    <r>
      <rPr>
        <sz val="10"/>
        <color theme="1"/>
        <rFont val="Times New Roman"/>
        <family val="1"/>
      </rPr>
      <t xml:space="preserve">: - </t>
    </r>
    <r>
      <rPr>
        <sz val="10"/>
        <color theme="1"/>
        <rFont val="Matter Light"/>
      </rPr>
      <t xml:space="preserve">37535220-5 
LOTE 2: - 44113100-6 </t>
    </r>
  </si>
  <si>
    <t>obras actuaciones sombra con arbolado en puentes del rio guadalmedina</t>
  </si>
  <si>
    <t xml:space="preserve">
45212190</t>
  </si>
  <si>
    <t>suministro material textil estructuras de sombra</t>
  </si>
  <si>
    <t xml:space="preserve">
39522100</t>
  </si>
  <si>
    <t>camino del parque canino parque de huelin</t>
  </si>
  <si>
    <t xml:space="preserve">45233200-1 </t>
  </si>
  <si>
    <t>seguro para los equipos de la red de vigilancia y control de la calidad del aire y nivel del ruido asociado a la zona de bajas emisiones de málaga</t>
  </si>
  <si>
    <t xml:space="preserve">6651 0000 </t>
  </si>
  <si>
    <t xml:space="preserve">prestación de servicios para realizar labores de concienciación ambiental del programa educativo “el hábitat y la vida del camaleón” adscrita al programa educativo municipal “pasaporte verde” </t>
  </si>
  <si>
    <t xml:space="preserve">
80540000</t>
  </si>
  <si>
    <t>2 AÑOS + 2 PRÓRROGA</t>
  </si>
  <si>
    <t xml:space="preserve">suministro de especies vegetales </t>
  </si>
  <si>
    <t xml:space="preserve">03451000-6 </t>
  </si>
  <si>
    <t>JUNTA DE GOBIERNO LOCAL</t>
  </si>
  <si>
    <t>redacción del proyecto  de actuaciones en el rio guadalmedina</t>
  </si>
  <si>
    <t xml:space="preserve">
712400000</t>
  </si>
  <si>
    <t xml:space="preserve">
34100000</t>
  </si>
  <si>
    <t>servicio de conservación-mantenimiento zonas verdes y arbolado viario, zonas, forestales, parques infantiles y aparatos biosaludable e infraestructuras hidráulicas</t>
  </si>
  <si>
    <t>77311000-</t>
  </si>
  <si>
    <t>estudio de revisión y  actualización del mapa estratégico de ruido de la aglomeración de málaga, y los planes de acción en materia de contaminación acústica</t>
  </si>
  <si>
    <t>71313100-6</t>
  </si>
  <si>
    <t>proyecto técnico de estudio de un sistema de control de los limitadores del municipio de málaga</t>
  </si>
  <si>
    <t xml:space="preserve">71313100-6 </t>
  </si>
  <si>
    <t>contrato para la instalación de una red de monitorización del ruido en continuo para el seguimiento de los planes zonales de málaga</t>
  </si>
  <si>
    <t>contrato para la elaboración de un banco de buenas prácticas de simbiosis industrial (web municipal de simbiosis)</t>
  </si>
  <si>
    <t>plataforma de inteligencia artificial local. calificación ambiental de actividades</t>
  </si>
  <si>
    <t>TURISMO</t>
  </si>
  <si>
    <t>Concejalía delegada del área de Contratación Pública Estratégica</t>
  </si>
  <si>
    <t>Oficina Municipal de información al turista en calle Alcazabilla</t>
  </si>
  <si>
    <t> 3ºTRIM.</t>
  </si>
  <si>
    <t xml:space="preserve">44000000-0 </t>
  </si>
  <si>
    <t>Oficina Municipal de información al turista en la Plaza de la Marina</t>
  </si>
  <si>
    <t> 3º TRIM.</t>
  </si>
  <si>
    <t>Concejalía delegada del área específica de turismo y promoción de la ciudad de Málaga</t>
  </si>
  <si>
    <t>Diseño y maquetación de la web STO</t>
  </si>
  <si>
    <t>72413000 </t>
  </si>
  <si>
    <t>Construccion stand fitur 2027</t>
  </si>
  <si>
    <t xml:space="preserve">39154000-6 </t>
  </si>
  <si>
    <t>28 días</t>
  </si>
  <si>
    <t>Suministro mediante renting (arrendamiento financiero) de un vehículo a estrenar sin opción de compra (renting) con destino al Área de Turismo del Ayuntamiento de Malaga. Vehículo tipo turismo monovolumen alto (“furgoneta shuttle”)</t>
  </si>
  <si>
    <t>49,586,77</t>
  </si>
  <si>
    <t>34100000 - 8</t>
  </si>
  <si>
    <t>60 MESES</t>
  </si>
  <si>
    <t>Análisis de impacto</t>
  </si>
  <si>
    <t xml:space="preserve">79311400-3 </t>
  </si>
  <si>
    <t>Mejora de equipamiento de la ruta</t>
  </si>
  <si>
    <t>50000000-5</t>
  </si>
  <si>
    <t>Reserva suelo fitur-ifema 2027</t>
  </si>
  <si>
    <r>
      <t>70110000-2</t>
    </r>
    <r>
      <rPr>
        <sz val="10"/>
        <color rgb="FF0A0A0A"/>
        <rFont val="Arial"/>
        <family val="2"/>
      </rPr>
      <t> </t>
    </r>
  </si>
  <si>
    <t>10 DIAS</t>
  </si>
  <si>
    <t>PATRIMONIAL</t>
  </si>
  <si>
    <t>arriendo patrimonial de los espacios de Reed Exhibitions, S.A. con motivo de la instalación del stand del Ayuntamiento de Málaga en la Feria World</t>
  </si>
  <si>
    <t>7 DIAS</t>
  </si>
  <si>
    <t>REPARTO DE CONTRATOS POR AREAS (2026)</t>
  </si>
  <si>
    <t>ÁREAS</t>
  </si>
  <si>
    <t>Nº contratos</t>
  </si>
  <si>
    <t>%</t>
  </si>
  <si>
    <t>Importe</t>
  </si>
  <si>
    <t>Alcaldía</t>
  </si>
  <si>
    <t>Asesoría Jurídica</t>
  </si>
  <si>
    <t>Comercio y Gestión Vía Pública</t>
  </si>
  <si>
    <t>Comunicación</t>
  </si>
  <si>
    <t>Coordinación de Distritos</t>
  </si>
  <si>
    <t>Cultura</t>
  </si>
  <si>
    <t>Deporte</t>
  </si>
  <si>
    <t>Derechos Sociales</t>
  </si>
  <si>
    <t>Distrito 1 Centro</t>
  </si>
  <si>
    <t>Distrito 2 Este</t>
  </si>
  <si>
    <t>Distrito 3 Ciudad Jardin</t>
  </si>
  <si>
    <t>Distrito 4 Bailén-Miraflores</t>
  </si>
  <si>
    <t>Distrito 5 Palma-Palmilla</t>
  </si>
  <si>
    <t>Distrito 6 Cruz de Humilladero</t>
  </si>
  <si>
    <t>Distrito 7 Ctra de Cádiz</t>
  </si>
  <si>
    <t>Distrito 8 Churriana</t>
  </si>
  <si>
    <t>Distrito 9 Campanillas</t>
  </si>
  <si>
    <t>Distrito 10 Puerto de la Torre</t>
  </si>
  <si>
    <t>Distrito 11 Teatinos-Universidad</t>
  </si>
  <si>
    <t>Economía y Hacienda</t>
  </si>
  <si>
    <t xml:space="preserve">Educación </t>
  </si>
  <si>
    <t>Gestión de proyectos europeos (OMAU)</t>
  </si>
  <si>
    <t>Igualdad</t>
  </si>
  <si>
    <t>Innovación</t>
  </si>
  <si>
    <t xml:space="preserve">Juventud </t>
  </si>
  <si>
    <t>Movilidad</t>
  </si>
  <si>
    <t>Participación Ciudadana</t>
  </si>
  <si>
    <t>Policía Local</t>
  </si>
  <si>
    <t>Prevención y Extinción Incendios</t>
  </si>
  <si>
    <t>Protección Civil</t>
  </si>
  <si>
    <t>Recursos Humanos y Calidad</t>
  </si>
  <si>
    <t>Secretaría Técnica de la Jta de Gobierno Local</t>
  </si>
  <si>
    <t>Servicios Operativos, Régimen Interior, Playas y Fiestas</t>
  </si>
  <si>
    <t>Sostenibilidad Medioambiental</t>
  </si>
  <si>
    <t>Turismo y Promoción de la Ciudad</t>
  </si>
  <si>
    <t>TOTAL</t>
  </si>
  <si>
    <t>REPARTO DE CONTRATOS POR FINALIDAD (2026)</t>
  </si>
  <si>
    <t xml:space="preserve">IMPORTE </t>
  </si>
  <si>
    <t>Acción Social</t>
  </si>
  <si>
    <t>Medio Ambiente</t>
  </si>
  <si>
    <t>Empleo, Economía e Innovación</t>
  </si>
  <si>
    <t>Cultura, Educación, Turismo, Deporte y Juventud</t>
  </si>
  <si>
    <t>Otros Servicios Públicos</t>
  </si>
  <si>
    <r>
      <rPr>
        <b/>
        <sz val="9"/>
        <color theme="1"/>
        <rFont val="Matter Light"/>
      </rPr>
      <t>Acción Social:</t>
    </r>
    <r>
      <rPr>
        <sz val="9"/>
        <color theme="1"/>
        <rFont val="Matter Light"/>
      </rPr>
      <t xml:space="preserve"> Área de Derechos Social y Área de Participación Ciudadana</t>
    </r>
  </si>
  <si>
    <r>
      <rPr>
        <b/>
        <sz val="9"/>
        <color theme="1"/>
        <rFont val="Matter Light"/>
      </rPr>
      <t>Medio Ambiente:</t>
    </r>
    <r>
      <rPr>
        <sz val="9"/>
        <color theme="1"/>
        <rFont val="Matter Light"/>
      </rPr>
      <t xml:space="preserve"> Área de Medio Ambiente </t>
    </r>
  </si>
  <si>
    <r>
      <rPr>
        <b/>
        <sz val="9"/>
        <color theme="1"/>
        <rFont val="Matter Light"/>
      </rPr>
      <t>Empleo, Economía e Innovación:</t>
    </r>
    <r>
      <rPr>
        <sz val="9"/>
        <color theme="1"/>
        <rFont val="Matter Light"/>
      </rPr>
      <t xml:space="preserve"> Área de Comercio, Área de Economía, Área de Innovación y Área de Gestión de proyectos europeos</t>
    </r>
  </si>
  <si>
    <r>
      <rPr>
        <b/>
        <sz val="9"/>
        <color theme="1"/>
        <rFont val="Matter Light"/>
      </rPr>
      <t>Cultura, Educación, Turismo, Deportes y Juventud:</t>
    </r>
    <r>
      <rPr>
        <sz val="9"/>
        <color theme="1"/>
        <rFont val="Matter Light"/>
      </rPr>
      <t xml:space="preserve"> Area de Cultura, Area de Educación y Juventud, Área de Turismo y Area de Deporte</t>
    </r>
  </si>
  <si>
    <r>
      <rPr>
        <b/>
        <sz val="9"/>
        <color theme="1"/>
        <rFont val="Matter Light"/>
      </rPr>
      <t>Otros Servicios Públicos:</t>
    </r>
    <r>
      <rPr>
        <sz val="9"/>
        <color theme="1"/>
        <rFont val="Matter Light"/>
      </rPr>
      <t xml:space="preserve"> resto de Areas</t>
    </r>
  </si>
  <si>
    <t>ORGANISMO AUTÓNOMO GESTIÓN TRIBUTARIA, S.A.M.</t>
  </si>
  <si>
    <t>Órgano de Contratación</t>
  </si>
  <si>
    <t>Presidencia del Organismo Autónomo de Gestión Tributaria</t>
  </si>
  <si>
    <t>SERVICIOS</t>
  </si>
  <si>
    <t xml:space="preserve">Servicios postales de correspondencia ordinaria del O.A. Gestión Tributaria </t>
  </si>
  <si>
    <t xml:space="preserve">64110000-0 
64112000-4 </t>
  </si>
  <si>
    <t>Servicios postales de notificaciones administrativas con presunción de veracidad y fehaciencia en la distribución, entrega, recepción, rehúse o imposibilidad de entrega del O.A. Gestión Tributaria</t>
  </si>
  <si>
    <t>Gerencia del Organismo Autónomo de Gestión Tributaria</t>
  </si>
  <si>
    <t>Servicios postales de notificaciones administrativas  urgentes con certificación del contenido -BUROFAX- con presunción de veracidad y fehaciencia en la transmisión telemática, distribución, entrega, recepción, rehúse o imposibilidad de entrega del O.A. Gestión Tributaria</t>
  </si>
  <si>
    <t xml:space="preserve">64110000-0 </t>
  </si>
  <si>
    <t xml:space="preserve">Servicios de diseño, planificación y producción de las campañas de publicidad periodos voluntarios de recaudación de tributos </t>
  </si>
  <si>
    <t xml:space="preserve">79341000-6 </t>
  </si>
  <si>
    <t>Suministro de impresos para el O.A. Gestión Tributaria 2027</t>
  </si>
  <si>
    <t>22900000-9</t>
  </si>
  <si>
    <t xml:space="preserve">Servicios externos de apoyo a la atención telefónica y telemática </t>
  </si>
  <si>
    <t xml:space="preserve">79510000-2 
79511000-9 
79512000-6 </t>
  </si>
  <si>
    <t>Servicios de elaboración de informes de Tasación</t>
  </si>
  <si>
    <t xml:space="preserve">71319000-7 </t>
  </si>
  <si>
    <t>Servicios de Agencia de viajes para el O.A: Gestión Tributaria</t>
  </si>
  <si>
    <t xml:space="preserve">63510000-7  </t>
  </si>
  <si>
    <t>Servicios de seguimiento de noticias relacionadas con la actividad del O.A. Gestión Tributaria y resúmenes de presencia del Organismo en medios de comunicación</t>
  </si>
  <si>
    <t>92400000-5</t>
  </si>
  <si>
    <t>Suministro material de papelería para el O.A. Gestión Tributaria</t>
  </si>
  <si>
    <t xml:space="preserve">0192000-1
30197000-6 30199000-0  </t>
  </si>
  <si>
    <t xml:space="preserve">Servicios de traslado, custodia, mantenimiento, consultas, préstamos y destrucción certificada del archivo </t>
  </si>
  <si>
    <t>92512000-3 
92512100-4</t>
  </si>
  <si>
    <t>Servicios de Prevención ajeno de riesgos laborales</t>
  </si>
  <si>
    <t>71317210-8</t>
  </si>
  <si>
    <t>Renovación licencias Software CITRIX VIRTUAL APPS AND DESKTOPS PREMIUM EDITION</t>
  </si>
  <si>
    <t>50312000-5
48900000-7</t>
  </si>
  <si>
    <t>Servicios de mantenimiento apl.informática control horario "WCRONOS"</t>
  </si>
  <si>
    <t xml:space="preserve">Póliza de seguro colectivo de asistencia sanitaria </t>
  </si>
  <si>
    <t xml:space="preserve">66512200-4  
66512210-7 
66512220-0  </t>
  </si>
  <si>
    <t>1  AÑO</t>
  </si>
  <si>
    <t>Servicios de diseño, maquetación e impresión de la memoria anual del O.A. Gestión Tributaria</t>
  </si>
  <si>
    <t xml:space="preserve">79800000-2
79822500-7 </t>
  </si>
  <si>
    <t xml:space="preserve">Servicios de impresión y acabado/ensobrado acumulado de recibos </t>
  </si>
  <si>
    <t>Arrendamiento plegadora</t>
  </si>
  <si>
    <t xml:space="preserve">30123400-1 </t>
  </si>
  <si>
    <t>Suministro de mobiliario</t>
  </si>
  <si>
    <t>39121200-8 
39122100-4 
39113000-7</t>
  </si>
  <si>
    <t>ORGANISMO AUTÓNOMO GERENCIA MUNICIPAL DE URBANISMO</t>
  </si>
  <si>
    <t>Gerente de la Gerencia Municipal de Urbanismo del Ayuntamiento de Málaga</t>
  </si>
  <si>
    <t>Auditorio</t>
  </si>
  <si>
    <t xml:space="preserve">45000000-7 
45210000-2 
45212321-2 
</t>
  </si>
  <si>
    <t>Ampliación Palacio de Ferias</t>
  </si>
  <si>
    <t xml:space="preserve">45000000-7 
45210000-2 
45212312-6 
45212340-1 
</t>
  </si>
  <si>
    <t>Edificio Municipal Calle Pacífico</t>
  </si>
  <si>
    <t xml:space="preserve">45000000-7 
45210000-2 
45213150-9 </t>
  </si>
  <si>
    <t>Acuerdo Marco para las obras de asfaltado de distritos, vías de alta densidad y parques industriales y empresariales de Málaga. Lote 1, 2 y 3. Lote 4.</t>
  </si>
  <si>
    <t xml:space="preserve">45000000-7 
45233252-0 
45233262-3 </t>
  </si>
  <si>
    <t>Paseo Marítimo El Palo</t>
  </si>
  <si>
    <t xml:space="preserve">45000000-7 
45246500-8 
</t>
  </si>
  <si>
    <t>23 MESES</t>
  </si>
  <si>
    <t>Parque Marítimo Baños del Carmen</t>
  </si>
  <si>
    <t xml:space="preserve">45112500-0 
45112711-2 
45220000-5 
45233140-2 </t>
  </si>
  <si>
    <t xml:space="preserve">Proyecto de remodelación Avenida de Andalucía (Fase 1) </t>
  </si>
  <si>
    <t xml:space="preserve">45000000-7 
45233252-0 
45233140-2 </t>
  </si>
  <si>
    <t>Proyecto de Ejecución de las Obras de Equipamiento en C/ José Calderón, 172, PAM-CA,1(97) Campanillas</t>
  </si>
  <si>
    <t xml:space="preserve">45000000-7 
45210000-2 
45111000-8: 
45112710-5 
</t>
  </si>
  <si>
    <t>20 MESES</t>
  </si>
  <si>
    <t>Pabellón gimnasia deportiva Cl. José Gaztambide</t>
  </si>
  <si>
    <t xml:space="preserve">45000000-7 
45210000-2 
45215220-4 
</t>
  </si>
  <si>
    <t>Acuerdo Marco Obras en Colegios</t>
  </si>
  <si>
    <t xml:space="preserve">45000000-7 
45100000-1 
45111000-8 
45111214-1 
45111230-9 
45112330-7 
45112700-2 
45210000-2 
45400000-1 
45214200-2 </t>
  </si>
  <si>
    <t>Centro Social Teatinos (Bizcochero-Capitan)</t>
  </si>
  <si>
    <t xml:space="preserve">45000000-7 
45210000-2 
45215200-9 
</t>
  </si>
  <si>
    <t>Proyecto básico y de ejecución jardín Rawda y senda peatonal entre calle Mundo Nuevo y Pinosol</t>
  </si>
  <si>
    <t xml:space="preserve">Renovación urbana calle Ollerías Y Plaza Pepe Mena </t>
  </si>
  <si>
    <t xml:space="preserve">Renovación urbana en Calle Panaderos y Puerta del Mar </t>
  </si>
  <si>
    <t>Acuerdo marco proyecto de demolición de edificios municipales</t>
  </si>
  <si>
    <t>45000000-7 
45100000-1 
45111000-8
45111214-1
45111230-9
45112330-7
45112700-2
45210000-2
45400000-1</t>
  </si>
  <si>
    <t>Proyecto de renovación Plaza Victoria Mérida y Piret (Bda. Parque Mediterraneo)</t>
  </si>
  <si>
    <t>Proyecto de renovación urbana Cruz de Humilladero</t>
  </si>
  <si>
    <t>Proyecto parque Andrés Jiménez Díaz</t>
  </si>
  <si>
    <t xml:space="preserve">45112500-0 
45112711-2 
45220000-5 </t>
  </si>
  <si>
    <t>Renovación urbana Calle Vendeja</t>
  </si>
  <si>
    <t xml:space="preserve">45000000-7  
45233262-3 </t>
  </si>
  <si>
    <t>Proyecto de terminación de senda litoral tramo Araña (conexión Cala-Candado)</t>
  </si>
  <si>
    <t>Reurbanización Las Flores y Ciudad Jardín</t>
  </si>
  <si>
    <t>Renovación urbana Calle Trinidad Grund 2ª Fase</t>
  </si>
  <si>
    <t>Proyecto ampliación y cierre perimetral Parque Virgen de las Cañas</t>
  </si>
  <si>
    <t>Senda Litoral en el Entorno del Peñón del Cuervo</t>
  </si>
  <si>
    <t>Ampliación Centro Ciudadano Antonio Sánchez Gómez. Nueva Málaga</t>
  </si>
  <si>
    <t xml:space="preserve">45000000-7 
45210000-2  
45215222-9 
</t>
  </si>
  <si>
    <t>Proyecto de semipeatonalización Avda. Manuel Torres, en el distrito nº 7 Carretera de Cádiz</t>
  </si>
  <si>
    <t>Proyecto de mejora de saneamiento. Campanillas</t>
  </si>
  <si>
    <t xml:space="preserve">45000000-7 
45232450-1 
45232410-9 </t>
  </si>
  <si>
    <t>Proyecto de mejora de la protección frente a la socavación en el río Guadalhorce</t>
  </si>
  <si>
    <t xml:space="preserve">45000000-7 
45112500-0
45220000-5 </t>
  </si>
  <si>
    <t>Parque Plaza Inmaculada</t>
  </si>
  <si>
    <t>Proyecto de renovación Calle Toquero</t>
  </si>
  <si>
    <t>Proyecto de separación de redes en calle Peña de Francia</t>
  </si>
  <si>
    <t>Centro Social Gómez Ocaña</t>
  </si>
  <si>
    <t>Mejora seguridad perspectiva Género Trinidad-Perchel</t>
  </si>
  <si>
    <t>Actualizac. Y Modif.Proyecto Calle Reboul y Agustín Martín Carrión</t>
  </si>
  <si>
    <t>Nueva sede de la Asociación en Centro Ciudadano La Princesa</t>
  </si>
  <si>
    <t xml:space="preserve">45000000-7 
45210000-2 
45215222-9 </t>
  </si>
  <si>
    <t>Proyecto de Ejecución de Acondicionamiento de Canalizaciones para paso de Fibra Óptica del C.E.M.I. hasta G.M.U., en el Distrito nº 7: Carretera de Cádiz - TRAMO 1</t>
  </si>
  <si>
    <t xml:space="preserve">45220000-5 </t>
  </si>
  <si>
    <t>Proyecto Plaza Cuatro Esquinas y calle Mar (PAI 2024-0091)</t>
  </si>
  <si>
    <t>Acuerdo Marco para las obras de ejecución subsidiaria para la reposición de la realidad física alterada y para el cumplimiento de sentencias judiciales.</t>
  </si>
  <si>
    <t>45000000-7
45110000-1
45111000-8
45111214-1
45111230-9
45112330-7
45112700-2
45210000-2
45400000-1</t>
  </si>
  <si>
    <t>Sede Club deportivo de petanca Junta de los Caminos</t>
  </si>
  <si>
    <t xml:space="preserve">45000000-7 
45210000-2 
45215222-9 
</t>
  </si>
  <si>
    <t>Proyecto de separación de redes en Calle Canadá</t>
  </si>
  <si>
    <t>Proyecto de actuaciones Alcazaba-Gibralfaro 2024. Fase 2</t>
  </si>
  <si>
    <t xml:space="preserve">Obras del Proyecto de terminación de la calle Cobertizo del conde. </t>
  </si>
  <si>
    <t xml:space="preserve">33770000  
18424300  
18143000 
33140000 </t>
  </si>
  <si>
    <t xml:space="preserve">33770000 
18424300 
18143000 
33140000 </t>
  </si>
  <si>
    <t>Proyecto de eliminación de cableado. Casco histórico Churriana, distrito 8.</t>
  </si>
  <si>
    <t>Regeneración infraestructuras sociales de García Grana</t>
  </si>
  <si>
    <t xml:space="preserve">45000000-7 
</t>
  </si>
  <si>
    <t>Proyecto de accesibilidad de Calle Eucaliptus</t>
  </si>
  <si>
    <t>Senda Litoral en el entorno del Puerto de El Candado</t>
  </si>
  <si>
    <t>Proyecto de renovación de saneamiento de la barrida de la Mosca del distrito nº2 de Málaga</t>
  </si>
  <si>
    <t>Senda Litoral en el tramo Mirador Torre de las Palomas, en la Barriada de la Araña</t>
  </si>
  <si>
    <t>Mejora del carril Cortijo Vallejo</t>
  </si>
  <si>
    <t>Proyecto de renovación de fuente ornamental en Parque del Norte</t>
  </si>
  <si>
    <t xml:space="preserve">45000000-7 
45261000-4 </t>
  </si>
  <si>
    <t xml:space="preserve">Proyecto reposición del Camino de Olías </t>
  </si>
  <si>
    <t>Proyecto de Renovación de Plaza Avicena, en el distrito nº 7: Carretera de Cádiz</t>
  </si>
  <si>
    <t>Proyecto de conexión peatonal A-404 a Campamento Benítez</t>
  </si>
  <si>
    <t xml:space="preserve">Reforma del local en Teatinos - Sede Social AFIBROMA </t>
  </si>
  <si>
    <t xml:space="preserve">45000000-7 
45262700-8 </t>
  </si>
  <si>
    <t>Proyecto de demolición de varios edificios en Av. Pintor Joaquín Sorolla</t>
  </si>
  <si>
    <t xml:space="preserve">45110000-1 </t>
  </si>
  <si>
    <t>Proyecto de Ejecución de Acondicionamiento de Canalizaciones para paso de Fibra Óptica del C.E.M.I. hasta G.M.U., en el Distrito nº 7: Carretera de Cádiz - TRAMO 2</t>
  </si>
  <si>
    <t>Proyecto de reparación de patologías en la sala de tambores y cornetas del Ayuntamiento de Málaga</t>
  </si>
  <si>
    <t>45000000-7 
45262700-8 
45262690-4 R</t>
  </si>
  <si>
    <t>Proyecto de reparación de los sistemas de bombeo de la biblioteca Manuel Altolaguirre</t>
  </si>
  <si>
    <t xml:space="preserve">45000000-7 
45259000-7 
45232410-9 </t>
  </si>
  <si>
    <t>Proyecto Calle Conde Ureña (Calle Bartolomé Carraco con Conde Ureña Nº 39)</t>
  </si>
  <si>
    <t xml:space="preserve">45000000-7T
45233252-0 
45233262-3 </t>
  </si>
  <si>
    <t>Obras del proyecto de demolición de edificio en calle Merlo nº 23</t>
  </si>
  <si>
    <t>Proyecto de obras necesarias para la subsanación de las deficiencias en las instalaciones de las cámaras de videovigilancia en los parques empresariales de Azucarera, Santa Bárbara y Guadalhorce de Málaga</t>
  </si>
  <si>
    <t>35125300- Cámaras de seguridad</t>
  </si>
  <si>
    <t>Acuerdo Marco para el Servicio de redacción de estudios previos, anteproyectos, proyectos básicos, proyectos de ejecución, dirección de obras o asistencia a la dirección de obras, de proyectos del Departamento de Arquitectura e Infraestructuras</t>
  </si>
  <si>
    <t xml:space="preserve">71200000-0 
71221000-3 
71240000-2 
71222000-0 
71400000-5 
71242000-6 
71245000-7 </t>
  </si>
  <si>
    <t>Servicio de "Plan integral de conservación y mantenimiento de los parques industriales y empresariales de Málaga"</t>
  </si>
  <si>
    <t>Servicio en materia de seguridad y salud en las obras promovidas desde la Gerencia Municipal de Urbanismo, Obras e Infraestructuras</t>
  </si>
  <si>
    <t>Actuaciones de desarrollo y actualizacion de Planeamiento</t>
  </si>
  <si>
    <t xml:space="preserve">71356400-2 
71240000-2 
71410000-5 </t>
  </si>
  <si>
    <t>Plan Especial Proteccion Centro Historico</t>
  </si>
  <si>
    <t xml:space="preserve">71240000-2 
71410000-5 </t>
  </si>
  <si>
    <t>Plan Ordenacion Urbana Centro</t>
  </si>
  <si>
    <t>GIS Planeamiento</t>
  </si>
  <si>
    <t xml:space="preserve">38221000-0 </t>
  </si>
  <si>
    <t>36 MESES</t>
  </si>
  <si>
    <t>Servicio Postal envios GMU</t>
  </si>
  <si>
    <t xml:space="preserve">64110000-0  
64113000-1 </t>
  </si>
  <si>
    <t>Plan Accesibilidad</t>
  </si>
  <si>
    <t xml:space="preserve">71240000-2  
71410000-5 
71241000-9 </t>
  </si>
  <si>
    <t xml:space="preserve">Cartografía por restitución fotogramétrica </t>
  </si>
  <si>
    <t xml:space="preserve">71354200-6 </t>
  </si>
  <si>
    <t>Ejecución de Actuaciones Previstas en el Plan de Transformación Digital</t>
  </si>
  <si>
    <t xml:space="preserve">71356200-0 
72600000-6 </t>
  </si>
  <si>
    <t>Automatización de la revisión de los proyectos de licencias de obras</t>
  </si>
  <si>
    <t xml:space="preserve">72212900-8 </t>
  </si>
  <si>
    <t>Vuelo fotogrametrico avioneta 2026</t>
  </si>
  <si>
    <t>71354200-6 S</t>
  </si>
  <si>
    <t>Fase 2 Asistencia Técnica Alcazaba-Gibralfaro</t>
  </si>
  <si>
    <t xml:space="preserve">71000000-8 </t>
  </si>
  <si>
    <t>Servicio de asistencia técnica para la redacción de documentación técnica, la dirección de obra y la coordinación de seguridad y salud en las obras
que se lleven a cabo por ejecución subsidiaria en el Servicio de Infracciones de la Gerencia
Municipal de Urbanismo, Obras e Infraestructuras del Excmo. Ayuntamiento de Málaga</t>
  </si>
  <si>
    <t xml:space="preserve">71356200-0 </t>
  </si>
  <si>
    <t>3D Alcazaba-Gibralfaro</t>
  </si>
  <si>
    <t>Servicio de Digitalización del Servicio de Infraccciones</t>
  </si>
  <si>
    <t>Servicio de asistencia técnica para la elaboración de un estudio de tráfico, movilidad, reordenación y señalización de la zona industrial de Guadalhorce (Málaga)</t>
  </si>
  <si>
    <t>71000000-8</t>
  </si>
  <si>
    <t>Digitalización Documentación Arqueologica</t>
  </si>
  <si>
    <t xml:space="preserve">72310000-1 
79552000-8 </t>
  </si>
  <si>
    <t>Servicio para la realización de censo preliminar de instalaciones y emplazamientos con amianto</t>
  </si>
  <si>
    <t>AT Consultoría para gestión, impulso y coordinación de los nuevos desarrollos y proyectos previstos en el Plan de Transformación Digital. Seguimiento del Plan de Tranformacion Digital.</t>
  </si>
  <si>
    <t>Asistencia Tecnica en Restauración</t>
  </si>
  <si>
    <t>Material de oficina no inventariable</t>
  </si>
  <si>
    <t xml:space="preserve">30197000-6 </t>
  </si>
  <si>
    <t>Acuerdo Marco Adquisición de Mobiliario</t>
  </si>
  <si>
    <t xml:space="preserve">391000000-3 
39000000-2 
39141999-5 </t>
  </si>
  <si>
    <t>Suministro Software (BIM, Autocad, Adobe Cloud y otras aplicaciones software)</t>
  </si>
  <si>
    <t xml:space="preserve">48000000-8 
48321000-4 </t>
  </si>
  <si>
    <t>Laser Scanner 3D Portatil</t>
  </si>
  <si>
    <t xml:space="preserve">38295000-0 </t>
  </si>
  <si>
    <t>Artículos de aseo edificio usos multiples</t>
  </si>
  <si>
    <t xml:space="preserve">33770000 
18424300 
33140000 </t>
  </si>
  <si>
    <t>ORGANISMO AUTÓNOMO INSTITUTO MUNICIPAL DE LA VIVIENDA</t>
  </si>
  <si>
    <t>Instituto Municipal de la Vivienda de Málaga</t>
  </si>
  <si>
    <t>DE+SS Alojamientos en C/ Gomez Ocaña</t>
  </si>
  <si>
    <t>71247000-2</t>
  </si>
  <si>
    <t>Alojamientos en C/ Gomez Ocaña</t>
  </si>
  <si>
    <t>45211200-1</t>
  </si>
  <si>
    <t>Cordinación SS Alojamientos locales Soliva</t>
  </si>
  <si>
    <t>Alojamientos locales Soliva</t>
  </si>
  <si>
    <t>DE+SS Biblioteca Flex</t>
  </si>
  <si>
    <t>28 MESES</t>
  </si>
  <si>
    <t xml:space="preserve"> Biblioteca-Sala estudio FLEX</t>
  </si>
  <si>
    <t>45000000-7 45453100-8</t>
  </si>
  <si>
    <t xml:space="preserve"> Parcela Deportiva Universidad</t>
  </si>
  <si>
    <t>DE+SS Parcela Deportiva</t>
  </si>
  <si>
    <t xml:space="preserve">6 MESES </t>
  </si>
  <si>
    <t>Dirección de obras y CSS rehabilitación CEPER Capuchinos</t>
  </si>
  <si>
    <t xml:space="preserve">71200000-0  
71247000-1 </t>
  </si>
  <si>
    <t>Obras para  la rehabilitación del edificio sito en Alameda de Capuchinos nº 29 de Málaga, donde se ubica el centro de educación permanente bahía capuchinos.</t>
  </si>
  <si>
    <t>45200000-9</t>
  </si>
  <si>
    <t>Rehabilitación y adecuación de usos y estudio de seguridad y salud de la Hacienda Quintana, sita en calle Llobregat nº 16, Málaga.</t>
  </si>
  <si>
    <t xml:space="preserve">45400000-1 
45210000-2  45420000-7  45430000-0   45440000-3 </t>
  </si>
  <si>
    <t>Dirección de obras y CSS rehabilitación y adecuación de usos y estudio de seguridad y salud de Hacienda Quintana, sita en calle Llobregat nº 16, Málaga</t>
  </si>
  <si>
    <t>Obras de rehabilitación de la planta sótano, del ala este de la planta baja y la planta primera del edificio del pabellón de gobierno adjunto de la UMA, para sede de la OFM, c/ Ejido nº 8. Málaga.</t>
  </si>
  <si>
    <t>45210000-2</t>
  </si>
  <si>
    <t>14 MESES</t>
  </si>
  <si>
    <t>Dirección de ejecución de obra y coordinación en materia de seguridad y salud de obras de rehabilitación de la fase III, correspondientes a la planta baja y sótano del ala este, del edificio del pabellón de gobierno adjunto de la UMA, para sede de la OFM, c/ Ejido nº 8. Málaga</t>
  </si>
  <si>
    <t xml:space="preserve">71200000-0 
71247000-1 </t>
  </si>
  <si>
    <t>Servicio redacción de proyecto rehabilitación archivo municipal</t>
  </si>
  <si>
    <t>Dirección de obras y CSS obras acondicionamiento interior de las oficinas municipales, sitas en c/ Palestina nº 7. Málaga</t>
  </si>
  <si>
    <t>Adaptación parcial de la planta primera e instalación de ascensor en el edificio situado en c/ Palestina nº 7, destinada a ejercer la actividad de medicina del trabajo de vigilancia de la salud y seguridad laboral del Área de Recursos Humanos y Calidad del Ayuntamiento de Málaga.</t>
  </si>
  <si>
    <t>Dirección de obras y CSS obras adaptación parcial de la planta primera e instalación de ascensor en el edificio situado en c/ Palestina nº 7, destinada a ejercer la actividad de medicina del trabajo de vigilancia de la salud y seguridad laboral del Área de Recursos Humanos y Calidad del Ayuntamiento de Málaga.</t>
  </si>
  <si>
    <t xml:space="preserve">71200000-0
71247000-1 </t>
  </si>
  <si>
    <t>Rehabilitación del edificio sito en plaza de Mendizábal nº 3. Málaga.</t>
  </si>
  <si>
    <t>Dirección de obras y CSS rehabilitación edificio sito en plaza Mendizábal nº 3</t>
  </si>
  <si>
    <t>Cubiertas hospital noble</t>
  </si>
  <si>
    <t>Dirección de ejecución y CSS obras cubiertas hospital noble</t>
  </si>
  <si>
    <t xml:space="preserve">Rehabilitación y reurbanización  en el entorno residencial de rehabilitación programada “San Andrés 2 ERRP” </t>
  </si>
  <si>
    <t>45211360-1</t>
  </si>
  <si>
    <t>Soterramiento de cables aéreos en cruces de calles de las Barriadas la Mosca y las Cuevas  del Distrito Este de Málaga.</t>
  </si>
  <si>
    <t xml:space="preserve">45112100-6 
45231600-2
45233252-0 
45314300-4 </t>
  </si>
  <si>
    <t>Dirección de obra y coordinación en materia de seguridad y salud en fase de ejecución, de las “obras de soterramiento de cables aéreos en cruces de calles de las Barriadas la Mosca y las Cuevas  del Distrito Este de Málaga.</t>
  </si>
  <si>
    <t>Rehabilitación edificio Avenida Andalucía 90</t>
  </si>
  <si>
    <t>Suministro gas elementos comunes promociones</t>
  </si>
  <si>
    <t xml:space="preserve">09123000-7    </t>
  </si>
  <si>
    <t>Seguros de comunidad</t>
  </si>
  <si>
    <t xml:space="preserve">66510000-8    </t>
  </si>
  <si>
    <t>2  AÑOS</t>
  </si>
  <si>
    <t>Limpieza promociones Colonia Sta. Inés, Mariscal y San Felipe Neri</t>
  </si>
  <si>
    <t>Mantenimiento comunidades propiedad de AVRA, gestionadas por IMV</t>
  </si>
  <si>
    <t>Limpieza Corralón de Santa Sofía</t>
  </si>
  <si>
    <t>Mantenimiento ascensores de comunidades propiedad de AVRA, gestionadas por IMV</t>
  </si>
  <si>
    <t xml:space="preserve">50750000-7 </t>
  </si>
  <si>
    <t>Adaptación cocina Corralón de Santa Sofía</t>
  </si>
  <si>
    <t xml:space="preserve">45262520-2    
39314000-6    </t>
  </si>
  <si>
    <t>Conserje Jacinto Benavente Colonia y otras</t>
  </si>
  <si>
    <t xml:space="preserve">Bacteriostáticos </t>
  </si>
  <si>
    <t xml:space="preserve">42968200-1  </t>
  </si>
  <si>
    <t xml:space="preserve">5 AÑOS </t>
  </si>
  <si>
    <t>AGENCIA PÚBLICA PARA LA GESTIÓN DE LA CASA NATAL DE PABLO RUIZ PICASSO Y OTROS EQUIPAMIENTOS MUSEÍSTICOS Y CULTURALES</t>
  </si>
  <si>
    <t>Consejo Rector de la Agencia Pública para la gestión de la Casa Natal de Pablo Ruíz Picasso y otros equipamientos museísticos y culturales</t>
  </si>
  <si>
    <t xml:space="preserve">Servicio Postal y Paquetería </t>
  </si>
  <si>
    <t>29,199,96 €</t>
  </si>
  <si>
    <t>64110000-0</t>
  </si>
  <si>
    <t xml:space="preserve">Seguro Patrimonio Histórico - Artístico </t>
  </si>
  <si>
    <t xml:space="preserve">66510000-8 </t>
  </si>
  <si>
    <t xml:space="preserve">Seguro médico </t>
  </si>
  <si>
    <t>Mantenimiento Software y Wcronos</t>
  </si>
  <si>
    <t>Seguro de vida</t>
  </si>
  <si>
    <t>Prevención de Riesgos Laborales</t>
  </si>
  <si>
    <t xml:space="preserve">Wifi en las dependencias Agencia </t>
  </si>
  <si>
    <t xml:space="preserve">32412110-8 </t>
  </si>
  <si>
    <t>Junta de Gobierno de la Agencia Pública para la gestión de la Casa Natal de Pablo Ruíz Picasso y otros equipamientos museísticos y culturales</t>
  </si>
  <si>
    <t>Recursos publicitarios</t>
  </si>
  <si>
    <t>Material oficina, informático y didáctico</t>
  </si>
  <si>
    <t xml:space="preserve">30197000-6  30200000-1 </t>
  </si>
  <si>
    <t>Director artístico MUCAC</t>
  </si>
  <si>
    <t>Comunicación, Publicidad y Marketing MUCAC</t>
  </si>
  <si>
    <t xml:space="preserve">79341000-6 79342200-5 </t>
  </si>
  <si>
    <t>Seguridad MUCAC</t>
  </si>
  <si>
    <t xml:space="preserve">79710000-4 79713000-5 79714000-2 </t>
  </si>
  <si>
    <t>Mantenimiento y montaje MUCAC</t>
  </si>
  <si>
    <t>INSTITUTO MUNICIPAL PARA LA FORMACIÓN Y EL EMPLEO</t>
  </si>
  <si>
    <t>Junta de Gobierno del Instituto Municipal para la Formación y el Empleo</t>
  </si>
  <si>
    <t>Servicios de ejecución de itinerarios formativos para la inserción laboral dentro del Proyecto Aquileo+ cofinanciado por el Fondo Social Europeo plus (FSE+), en el marco del programa de empleo, educación, formación y economía social (EFESO), organizados por el Instituto Municipal para la Formación y el Empleo (IMFE) del Excmo. Ayto. de Málaga (23 cursos de los lotes desiertos)</t>
  </si>
  <si>
    <t xml:space="preserve">80500000 9 </t>
  </si>
  <si>
    <t>Delegación del Área de Fomento del Empleo Educación y Fomento del Empleo</t>
  </si>
  <si>
    <t>Contrato basado Acuerdo Marco Suministro Energía Eléctrica</t>
  </si>
  <si>
    <t>31154000
09310000</t>
  </si>
  <si>
    <t xml:space="preserve">Contratación privada de seguro de flota vehículo AM centrl de compras FEMP </t>
  </si>
  <si>
    <t>Contrato privado póliza de seguro colectivo de asistencia sanitaria para el personal laboral fijo al servicio del Instituto Municipal para la Formación y el Empleo y otros colectivos asegurables</t>
  </si>
  <si>
    <t xml:space="preserve">66512210-7 
66512220-0 </t>
  </si>
  <si>
    <t>Servicios de limpieza y DDD paras las dependencias del IMFE sitas en C/Victoria 
nª9-11-13 y PTA C/Maria Curie 20</t>
  </si>
  <si>
    <t xml:space="preserve">90911200-8 
90919200-4 
90923000-3  
90922000-6 </t>
  </si>
  <si>
    <t>Asistencia Técnica y consultoria para la planificación, racionalización, mejora y profesionalización de los procesos de compra pública.</t>
  </si>
  <si>
    <t>75100000-7 
79411000
75130000</t>
  </si>
  <si>
    <t>Formación contÍnua personal</t>
  </si>
  <si>
    <t>Asistencia Técnica, consultoría y apoyo 
administrativo para la mejora de la gestión
de subvenciones públicas y sus procesos de
justificación</t>
  </si>
  <si>
    <t xml:space="preserve">75100000-7 </t>
  </si>
  <si>
    <t>Servicios soporte y mantenimiento TIC para el
desarrollo de los Programas de Empleo y/o Formación</t>
  </si>
  <si>
    <t xml:space="preserve">72000000 
72261000
72265000  
72267000 </t>
  </si>
  <si>
    <t xml:space="preserve">Servicio Tic de Apoyo a programas de formación y/o empleo: Asistencia para la gestión de Diplomas de Formación en formato digital con firma electrónica </t>
  </si>
  <si>
    <t xml:space="preserve">72000000 
48730000 </t>
  </si>
  <si>
    <t>Servicios de mediación</t>
  </si>
  <si>
    <t>Servicios de publicidad, diseño y estrategias de comunicación del Instituto Municipal para la Formación y el Empleo del Ayuntamiento de Málaga (IMFE) para dar cobertura a todos sus Departamentos respecto a los distintos servicios, programas y actividades</t>
  </si>
  <si>
    <t xml:space="preserve">79341000 
79341100
79341400
79416200
</t>
  </si>
  <si>
    <t>Software de gestión para la Agencia Municipal de Colocación</t>
  </si>
  <si>
    <t>Suministro de fuentes de agua</t>
  </si>
  <si>
    <t>Suministro de tabletas digitales Premio "mejor idea empresarial" organizado por el Área de Eduación con la colaboración del IMFE</t>
  </si>
  <si>
    <t>Equipos Multifunción para dependencias del IMFE</t>
  </si>
  <si>
    <t xml:space="preserve">30232110-8 
503313100 
503313200 
</t>
  </si>
  <si>
    <t>Merchandising para la difusión de actividades e imagen institucional</t>
  </si>
  <si>
    <t>22462000
79340000</t>
  </si>
  <si>
    <t>Servicios de diseño, organización y celebración de jornadas, eventos y eventos organizados por la Agencia Municipal de Colocación del Instituto Municipal para la Formación y el Empleo del Ayuntamiento de Málaga para el año 2027 C.A.</t>
  </si>
  <si>
    <t>79411000
79414000-9
79952000-2  80500000</t>
  </si>
  <si>
    <t xml:space="preserve">Servicio de conservación y mantenimiento de instalaciones del Instituto Municipal para la Formación y el Empleo (IMFE) del Ayuntamiento de Málaga” para el año 2027. </t>
  </si>
  <si>
    <t>Contratación de espacios y servicios para la Feria de Empleo 2027 (FYCMA)</t>
  </si>
  <si>
    <t>1 o 2 DÍAS</t>
  </si>
  <si>
    <t>Servicio de impartición de acciones formativas dentro del Programa de Formación Online del Instituto Municipal para la Formación y el Empleo (IMFE) del Excmo. Ayto. de Málaga para el año 2027 C.A.</t>
  </si>
  <si>
    <t>Servicios de impartición de acciones formativas dentro del Programa de Competencias Profesionales y Tecnológicas para el Empleo del Instituto Municipal para la Formación y el Empleo (IMFE) del Excmo. Ayuntamiento de Málaga para el año 2027</t>
  </si>
  <si>
    <t>Servicios de impartición de acciones formativas dentro del Programa “ESCUELA MUNICIPAL DE EMPRESAS” del Instituto Municipal para la Formación y el Empleo (IMFE) del Ayuntamiento de Málaga para el año 2027</t>
  </si>
  <si>
    <t>Servicio de Prevención d Risgos Laborales (Especialidades Técnicas y Vigilancia de la Salud)</t>
  </si>
  <si>
    <t xml:space="preserve">71317200 
71317210 
85000000-9 
</t>
  </si>
  <si>
    <t>Estudios de mercado, consultorías y mentorización de planes de negocios</t>
  </si>
  <si>
    <t>66,165,00 €</t>
  </si>
  <si>
    <t xml:space="preserve">Celebración de eventos y encuentros  para el desarrollo empresarial 
</t>
  </si>
  <si>
    <t>79411000 
79952000
80500000</t>
  </si>
  <si>
    <t>EMPRESA MUNICIPAL GESTIÓN DE MEDIOS DE COMUNICACIÓN DE MÁLAGA, S.A.</t>
  </si>
  <si>
    <t>Gerencia de la Empresa Municipal de Gestión de Medios de Comunicación de Málaga, S.A.</t>
  </si>
  <si>
    <t>Asesoramiento jurídico laboral</t>
  </si>
  <si>
    <t xml:space="preserve">79111000-5    </t>
  </si>
  <si>
    <t>Servicios de asesorías externas fiscal, laboral y mercantil</t>
  </si>
  <si>
    <t>79111000-5 79211110-0 79110000-8</t>
  </si>
  <si>
    <t>Seguro salud trabajadores</t>
  </si>
  <si>
    <t>66512200-4</t>
  </si>
  <si>
    <t>Alquiler equipos para eventos</t>
  </si>
  <si>
    <t>34928200-0 31121000-0 32240000-7 32000000-3 32300000-6 32342410-9</t>
  </si>
  <si>
    <t>Captación y elaboración de imágenes</t>
  </si>
  <si>
    <t xml:space="preserve">92100000-2 </t>
  </si>
  <si>
    <t>VIVIENDAS DE MÁLAGA, S.L.</t>
  </si>
  <si>
    <t>Gerencia de la Sociedad Municipal de Viviendas de Málaga, S.L.</t>
  </si>
  <si>
    <t>DO Arquitecto Haití</t>
  </si>
  <si>
    <t>71200000-0</t>
  </si>
  <si>
    <t xml:space="preserve">DE+Coordinación SS Haití </t>
  </si>
  <si>
    <t>Obras Haití. 5 viviendas</t>
  </si>
  <si>
    <t>DE y Cordinación SS Rosaleda</t>
  </si>
  <si>
    <t>22 MESES</t>
  </si>
  <si>
    <t>Obras Rosaleda, 10 viviendas</t>
  </si>
  <si>
    <t>PE+Obra Portillo 60 viviendas</t>
  </si>
  <si>
    <t>71000000-8
71200000-0
45211200-1</t>
  </si>
  <si>
    <t>DO 50 viviendas Portillo</t>
  </si>
  <si>
    <t>71247000-1</t>
  </si>
  <si>
    <t>DE+ Coordinación SS Portillo. 50 viv.</t>
  </si>
  <si>
    <t xml:space="preserve">PB Parcela M3 Soliva Oeste </t>
  </si>
  <si>
    <t xml:space="preserve">PB Parcela M4 Soliva Oeste </t>
  </si>
  <si>
    <t xml:space="preserve">PB Parcela M5 Soliva Oeste </t>
  </si>
  <si>
    <t>Reparaciones PostVenta</t>
  </si>
  <si>
    <t>250,000,00 €</t>
  </si>
  <si>
    <t>Administración horizontal y vertical de fincas de promociones titularidad de la SMVM</t>
  </si>
  <si>
    <t xml:space="preserve">70333000-4 </t>
  </si>
  <si>
    <t>TEATRO CERVANTES DE MÁLAGA, S.A.</t>
  </si>
  <si>
    <t>Teatro Cervantes de Málaga</t>
  </si>
  <si>
    <t>Suministro de lonas y servicios de instalación, montaje, equipamiento, decoración, mantenimiento y desmontaje de lonas para la sociedad Teatro Cervantes durante el año 2026</t>
  </si>
  <si>
    <t>19000000  79952000</t>
  </si>
  <si>
    <t>Servicio de gestión de reservas hoteleras y organización de viajes mediante acuerdo marco para Teatro Cervantes de Málaga e Iniciativas Audiovisuales S.A., durante el año 2026</t>
  </si>
  <si>
    <t>63510000  63000000</t>
  </si>
  <si>
    <t>Servicios relacionados con Gabinete de Prensa y Comunicación para la 29º edición del Festival de Málaga</t>
  </si>
  <si>
    <t>92400000  79341000</t>
  </si>
  <si>
    <t>Servicio de empresa explotadora de alojamiento en apartamentos turísticos para personal y colaboradores de las actividades programadas por la sociedad Teatro Cervantes para el 2026</t>
  </si>
  <si>
    <r>
      <t>Servicio de Vigilancia y seguridad, para la 29 edición del Festival de Málaga, a celebrar del 6 al 15 de marzo, y restantes actividades a desarrollar por la sociedad Teatro Cervantes de Málaga e Iniciativas Audiovisuales S.A. durante el año 2026</t>
    </r>
    <r>
      <rPr>
        <sz val="10"/>
        <color rgb="FF000000"/>
        <rFont val="Matter Light"/>
      </rPr>
      <t>.</t>
    </r>
  </si>
  <si>
    <t>Servicio de gestión , coordinación artística y preparación musical del coro para la XXVIII temporada lírica del Teatro Cervantes de Málaga</t>
  </si>
  <si>
    <t>92312000     92312120</t>
  </si>
  <si>
    <t>Suministro en régimen de alquiler de equipos de video e iluminación, así como el servicio técnio necesario correspondiente para las galas de la 29 edición del Festival de Málaga</t>
  </si>
  <si>
    <t>32000000     79952000</t>
  </si>
  <si>
    <t>Servicios de reclutamiento, contratación y puesta a disposición del personal solicitado por Teatro Cervantes de Málaga, con el fin de satisfacer las necesidades temporales de contratación para la 29 edición del Festival de Cine de Málaga.</t>
  </si>
  <si>
    <t>79000000   79620000</t>
  </si>
  <si>
    <t>Contratación de los servicios de personal a través de empresa de trabajo temporal o Agencia de azafatas y azafatos y auxiliares RRPP para la empresa Teatro Cervantes de Málaga e Iniciativas Audiovisuales S.A.</t>
  </si>
  <si>
    <t>Alquiler de casetas modulares, para la 29 edición del Festival de Málaga, a celebrar del 6 al 15 de marzo y restantes actividades a desarrollar por la sociedad Teatro Cervantes de Málaga e Iniciativas Audiovisuales S.A.</t>
  </si>
  <si>
    <t>44211000  45223810</t>
  </si>
  <si>
    <t> Servicios de limpieza de los teatros Cervantes y Echegaray, el Cine Albéniz y demás espacios y eventos gestionados por Málaga Procultura</t>
  </si>
  <si>
    <t>Servicio de operaciones de carga y descarga de escenografía en el Teatro Cervantes, Teatro Echegaray y otros espacios concertados por la sociedad para el desarrollo de sus espectáculos. Servicios de producción para el desarrollo del Cine Abierto</t>
  </si>
  <si>
    <t>Alquiler, montaje y desmontaje de backline, refuerzo de sonido y servicio de personal técnico para los espectáculos que lo requieran en el Teatro Cervantes, Teatro Echegaray y Cine Albéniz de Málaga, y en cualquier otro espacio de interior o exterior en el que se programe una actividad por parte de la sociedad, durante el año 2026</t>
  </si>
  <si>
    <t>51310000   51313000    92320000    92370000</t>
  </si>
  <si>
    <t xml:space="preserve">Suministro, en régimen de alquiler, de carpas acristaladas para las actividades programadas dentro de la 29 Edición del Festival de Málaga  </t>
  </si>
  <si>
    <t>Suministro, instalación, montaje, mantenimiento y desmontaje de moqueta para la 29 Edición del Festival de Málaga</t>
  </si>
  <si>
    <t>19000000     79950000     79952100</t>
  </si>
  <si>
    <t>Servicio de diseño de espacios, aplicaciones de grafismo, montaje, desmontaje y transporte para la actividad Mafiz, dentro de la 29 Edición del Festival de Málaga</t>
  </si>
  <si>
    <t xml:space="preserve">51000000           39000000       39100000       92000000   </t>
  </si>
  <si>
    <t>Suministro en régimen de alquiler de equipos de video, sonido e iluminación, así como el servicio técnio necesario correspondiente para la 29 edición del Festival de Málaga, Mafiz y resto de actividades organizadas durante 2026</t>
  </si>
  <si>
    <t>2000000      30200000   38600000   51100000   92000000</t>
  </si>
  <si>
    <t>Servicios para la realización y retransmisión por streaming, incluyendo soporte técnic, de las gaslas de la 29 edición del Festival de Málaga</t>
  </si>
  <si>
    <t>92100000      32000000      32320000       92110000</t>
  </si>
  <si>
    <t>Servicio de soporte, mantenimiento y desarrollos del conjunto de webs y plataformas digitales de Teatro Cervantes de Málaga e Iniciativas Audiovisuales S.A</t>
  </si>
  <si>
    <t>72200000       48820000</t>
  </si>
  <si>
    <t>Servicios de asistencia técnica y asesoría jurídica para Teatro Cervantes de Málaga e Iniciativas Audiovisuales S.A.</t>
  </si>
  <si>
    <t>75130000   79100000   79140000</t>
  </si>
  <si>
    <t>Contratación de los servicios de: herramiento software de business intelligence y de CRM y automatización de marketing, seguimiento analítico de los datos de ticketing y acciones de marketing y diseño e implementación de campañas de e-mail</t>
  </si>
  <si>
    <t>72316000    72222300     72212482</t>
  </si>
  <si>
    <t>EMPRESA MUNICIPAL DE AGUAS DE MÁLAGA, S.A.</t>
  </si>
  <si>
    <t>Consejero Delegado de la Empresa Municipal de Aguas de Málaga S.A.</t>
  </si>
  <si>
    <t>Productos químicos para procesos de depuración y potabilización</t>
  </si>
  <si>
    <t>24310000-0</t>
  </si>
  <si>
    <t>Sustitución gasómetro n. 2 EDAR Guadalhorce</t>
  </si>
  <si>
    <t>39350000-0</t>
  </si>
  <si>
    <t>Implantación proceso fangos mixtos en P.Cuervo</t>
  </si>
  <si>
    <t>Tamices pretratamiento EDAR Guadalhorce y Peñón del Cuervo</t>
  </si>
  <si>
    <t>Válvulas tipo IRIS para reactores biológicos</t>
  </si>
  <si>
    <t>42131000-6</t>
  </si>
  <si>
    <t>Depósitos almacenamiento PQ terciario Guadalhorce</t>
  </si>
  <si>
    <t>44611400-0</t>
  </si>
  <si>
    <t>Planta de clasificación y compactado de residuos proveniente de limpieza de redes</t>
  </si>
  <si>
    <t>45222100-0</t>
  </si>
  <si>
    <t>Instalación de agua de servicio en zona de línea de aguas EDAR Guadalhorce</t>
  </si>
  <si>
    <t>50000000-5 </t>
  </si>
  <si>
    <t xml:space="preserve">Nuevas cintas túneles secado térmico </t>
  </si>
  <si>
    <t>34951200-0</t>
  </si>
  <si>
    <t>Nuevo grupo generador pretratamiento EDAR Guadalhorce</t>
  </si>
  <si>
    <t>31100000-7</t>
  </si>
  <si>
    <t>Adquisición equipos bombeo EDAR + EBAR</t>
  </si>
  <si>
    <t>42122000-0</t>
  </si>
  <si>
    <t>Inspección periódica de emisarios</t>
  </si>
  <si>
    <t>71631400-4</t>
  </si>
  <si>
    <t>Ampliación cerramiento EBAR Puerto</t>
  </si>
  <si>
    <t>Sustitución de la cubierta del edificio de elevación y soplantes de EDAR Guadalhorce</t>
  </si>
  <si>
    <t>Equipamiento espesador n. 4 EDAR Guadalhorce</t>
  </si>
  <si>
    <t>Limpieza arenas EBAR</t>
  </si>
  <si>
    <t>90910000-9  </t>
  </si>
  <si>
    <t>Rehabilitaciones, Reparaciones y Refuerzos Estructurales de las
Infraestructuras gestionadas por EMASA</t>
  </si>
  <si>
    <t>45262330-3</t>
  </si>
  <si>
    <t>Proyecto de solución inundaciones y reducción de vertidos del Colector Carretería al Puerto</t>
  </si>
  <si>
    <t>45231300-8</t>
  </si>
  <si>
    <t>Rehabilitación del embovedado de La Paloma y canalización interceptor residual para separación de redes</t>
  </si>
  <si>
    <t xml:space="preserve">Rehabilitación depósito Palmilla </t>
  </si>
  <si>
    <t>45213260-3</t>
  </si>
  <si>
    <t>Segundo vaso Miraflores del Palo Superior</t>
  </si>
  <si>
    <t xml:space="preserve">Mejora de los vallados de los depósitos </t>
  </si>
  <si>
    <t>Instalación de placas fotovoltaicas sobre depósitos y otras insalaciones del CIA</t>
  </si>
  <si>
    <t>45261215-4</t>
  </si>
  <si>
    <t xml:space="preserve"> Instalación de placas solares térmicas para calentamiento de soluciones químicas para lavado de membranas en ETAP ATABAL</t>
  </si>
  <si>
    <t>Reforma EBAR Pacífico: Acceso para contenedor, claraboyas y puente grúa.</t>
  </si>
  <si>
    <t>45259000-7</t>
  </si>
  <si>
    <t>Traslado elevación Liceo Francés</t>
  </si>
  <si>
    <t>Conexión Viñuela-Jaboneros</t>
  </si>
  <si>
    <t>Cambio tuberías galería de filtros en la ETAP Atabal</t>
  </si>
  <si>
    <t>Cajon Dos Hermanas tramo desde desvío arroyo hasta Heroe Sostoa</t>
  </si>
  <si>
    <t>Obras de Rehabilitación del partidor de Suarez y Tunel de Atabal</t>
  </si>
  <si>
    <t>Asistencia Técnica para la seguridad, explotación, mantenimiento y conservación de la presa El Tomillar</t>
  </si>
  <si>
    <t xml:space="preserve">71631460-2 </t>
  </si>
  <si>
    <t>Protección catódica tubería Aljaima</t>
  </si>
  <si>
    <t>Mantenimiento de pozos</t>
  </si>
  <si>
    <t>Limpieza de placas fotovoltaicas</t>
  </si>
  <si>
    <t>Filtros de cartuchos idas</t>
  </si>
  <si>
    <t>42912310-8</t>
  </si>
  <si>
    <t>Suministro y recuperación de membranas de osmosis inversa para la IDAS</t>
  </si>
  <si>
    <t>Membranas de osmosis inversa para la IDAS</t>
  </si>
  <si>
    <t>Pintura instalaciones tratamiento agua potable</t>
  </si>
  <si>
    <t>45442100-8 </t>
  </si>
  <si>
    <t>Ejecución plan de emergencias Presa del Tomillar</t>
  </si>
  <si>
    <t>45000000-7 </t>
  </si>
  <si>
    <t>Corrección filtraciones estribo izquierdo Presa del Tomillar</t>
  </si>
  <si>
    <t xml:space="preserve"> Servicio de mantenimiento y reparación de las instalaciones exteriores de EMASA</t>
  </si>
  <si>
    <t>50500000</t>
  </si>
  <si>
    <t>Asistencia Técnica Vigilancia Obras de Terceros</t>
  </si>
  <si>
    <t xml:space="preserve">71520000-9   </t>
  </si>
  <si>
    <t>Suministro de información digital de redes de servicios públicos</t>
  </si>
  <si>
    <t>38221000-0</t>
  </si>
  <si>
    <t>Apoyo en la gestión y tramitación de demandas judiciales y Gestiones de cobro</t>
  </si>
  <si>
    <t>75231000-4  </t>
  </si>
  <si>
    <t xml:space="preserve">Apoyo administrativo a tareas de atención al cliente </t>
  </si>
  <si>
    <t>79342300-6</t>
  </si>
  <si>
    <t>Búsqueda y localización de fugas en redes de distribución de abastecimiento</t>
  </si>
  <si>
    <t>71631430-3 </t>
  </si>
  <si>
    <t>Control arqueológico de actuaciones</t>
  </si>
  <si>
    <t>71351914-3</t>
  </si>
  <si>
    <t>Suministro de contadores</t>
  </si>
  <si>
    <t>38421100-3</t>
  </si>
  <si>
    <t>Suministro de registradores, hidrófonos y sensorización para redes</t>
  </si>
  <si>
    <t>38400000-9</t>
  </si>
  <si>
    <t>Contrato de Auditoría Financiera</t>
  </si>
  <si>
    <t>79212100-4</t>
  </si>
  <si>
    <t>Contrato de Auditoría Subvenciónes</t>
  </si>
  <si>
    <t xml:space="preserve">Contratación del servicio de consultoría y asistencia jurídica, económica y técnica para definir e implementar modelo de gestión conjunta de los servicios del ciclo del agua </t>
  </si>
  <si>
    <t>71800000/75100000/79100000/79200000</t>
  </si>
  <si>
    <t>Actualización de la red wifi</t>
  </si>
  <si>
    <t>32400000-7</t>
  </si>
  <si>
    <t>Implantacion de la red de back up de comunicaciones via radio</t>
  </si>
  <si>
    <t>32400000-7 </t>
  </si>
  <si>
    <t>Equipacion y licenciamiento de elementos de comunicaciones</t>
  </si>
  <si>
    <t>48000000-8</t>
  </si>
  <si>
    <t>Licencia y AT de Flow</t>
  </si>
  <si>
    <t>Licencia y AT de Forti</t>
  </si>
  <si>
    <t>Licencias y AT de F5</t>
  </si>
  <si>
    <t>Contratación de Consultoría para el ENS de TI</t>
  </si>
  <si>
    <t xml:space="preserve">72000000-5   </t>
  </si>
  <si>
    <t>Implatación proyectos Cloud</t>
  </si>
  <si>
    <t>Sistema basado en IA para contratación/compras</t>
  </si>
  <si>
    <t>72260000-5</t>
  </si>
  <si>
    <t>Metaclean</t>
  </si>
  <si>
    <t>Pentesting</t>
  </si>
  <si>
    <t xml:space="preserve">PHISHING </t>
  </si>
  <si>
    <t>Dialenga</t>
  </si>
  <si>
    <t>Asistencia Técnica Power BI</t>
  </si>
  <si>
    <t>72220000-3</t>
  </si>
  <si>
    <t>DBA as a Service</t>
  </si>
  <si>
    <t>Licencias/Mtto TAXOR</t>
  </si>
  <si>
    <t>Mantenimiento Portal datos abiertos</t>
  </si>
  <si>
    <t>Soporte Pentaho</t>
  </si>
  <si>
    <t>Solarwinds (Licencias)</t>
  </si>
  <si>
    <t>Servicios Gestionados 24x7 Infraestructura y Sistemas</t>
  </si>
  <si>
    <t>Asistencia Técnica Sistemas T3</t>
  </si>
  <si>
    <t xml:space="preserve">SUMINISTRO </t>
  </si>
  <si>
    <t>Trello (licencia Business Class)</t>
  </si>
  <si>
    <t>Infolex</t>
  </si>
  <si>
    <t>SUMINISTRO SERVICIOS</t>
  </si>
  <si>
    <t>Nutanix + Arista (CPD)</t>
  </si>
  <si>
    <t>30211200-3  </t>
  </si>
  <si>
    <t>MSDN (Licencia Visual Studio)</t>
  </si>
  <si>
    <t>Swivel</t>
  </si>
  <si>
    <t>Azure Owncloud (Consigna)</t>
  </si>
  <si>
    <t>GeoTrust quickSSL Premium Wildcard</t>
  </si>
  <si>
    <t>Plataforma sellado TSA</t>
  </si>
  <si>
    <t>Citrix XenApp</t>
  </si>
  <si>
    <t>SAP-CP Integration, PI Edition</t>
  </si>
  <si>
    <t>SAP y DB2</t>
  </si>
  <si>
    <t>Air-Gapped (soporte copia)</t>
  </si>
  <si>
    <t>Plataforma Trámites ciudadanos</t>
  </si>
  <si>
    <t xml:space="preserve">Licencias y mantenimiento JIRA </t>
  </si>
  <si>
    <t>Mantenimineto Rubrik</t>
  </si>
  <si>
    <t>Nodos Nutanix (nuevo clúster Desarrollo, incl licencias y soporte)</t>
  </si>
  <si>
    <t>Suministro y mantenimiento pago por uso impresoras multifuncionales</t>
  </si>
  <si>
    <t>30120000-6</t>
  </si>
  <si>
    <t>Adquisición de Hardware informático</t>
  </si>
  <si>
    <t xml:space="preserve">Mantenimiento WEB </t>
  </si>
  <si>
    <t>Mantenimiento Athento</t>
  </si>
  <si>
    <t>Asistencia técnica Media Wiki</t>
  </si>
  <si>
    <t>Integración Nuevo ERP Clientes y Redes con otros sistemas</t>
  </si>
  <si>
    <t>Diversos proyectos de desarrollo Software</t>
  </si>
  <si>
    <t>Evolutivos Software de Rutas y Lecturas</t>
  </si>
  <si>
    <t xml:space="preserve">PERTE A26 Telelectura. Oficina Técnica de Proyectos </t>
  </si>
  <si>
    <t>PERTE A26 Telelectura. Adquisición sistemas HW para albergar nuevo Data Lake de Telelectura</t>
  </si>
  <si>
    <t>PERTE A26 Telelectura. Nuevo Data Lake de Telelectura</t>
  </si>
  <si>
    <t xml:space="preserve">PERTE A26 Telelectura. Migración ETL's a .Net </t>
  </si>
  <si>
    <t>PERTE A26 Telelectura. Desarrollo herramienta para despliegue y mantenimiento de Equipos NB</t>
  </si>
  <si>
    <t>PERTE A26 Telelectura. Middleware de Comunicaciones a equipos NB</t>
  </si>
  <si>
    <t>PERTE A26 Telelectura. Sistema de Gestión de Activos de Telelectura</t>
  </si>
  <si>
    <t>Acuerdo Marco de suministro de material de laboratorio utilizado en EMASA</t>
  </si>
  <si>
    <t xml:space="preserve">33696500-0    31700000-3    24000000-4    </t>
  </si>
  <si>
    <t>AM contratac de analisis y toma de muestras para aguas regeneradas, playas y caracterización de residuos</t>
  </si>
  <si>
    <t>71600000-4 </t>
  </si>
  <si>
    <t>    Alquiler de líneas terrestres de comunicación</t>
  </si>
  <si>
    <t>64214400-3</t>
  </si>
  <si>
    <t>Servicio de auditoría interna UNE-EN ISO/IEC 17025:2017 y UNE-EN ISO 9001:2015.</t>
  </si>
  <si>
    <t>Suscripción Aenormás + ampliación para uso e RED</t>
  </si>
  <si>
    <t>79980000-7 </t>
  </si>
  <si>
    <t>79980000-7    Servicios de suscripción</t>
  </si>
  <si>
    <t>MIXTO (PRINCIPAL SUMINISTRO)</t>
  </si>
  <si>
    <t>Suministro de Colilert-18 y otros consumibles IDEXX para la realización de análisis de Coliformes y E COLI por el método de NMP en el laboratorio de EMASA, y mantenimiento de selladora</t>
  </si>
  <si>
    <t>24000000-4  </t>
  </si>
  <si>
    <t>suministro de etiquetas y cintas para usar en impresoras Zebra GK42t.</t>
  </si>
  <si>
    <t>30000000-9  </t>
  </si>
  <si>
    <t>servicio de reparación de equipos de laboratorio.</t>
  </si>
  <si>
    <t>50000000-5  </t>
  </si>
  <si>
    <t>MIXTO (PRINCIPAL EN 2026 SUMINISTRO)</t>
  </si>
  <si>
    <t>Nuevo equipo ICP</t>
  </si>
  <si>
    <t>38432200-4</t>
  </si>
  <si>
    <t>Respirómetro</t>
  </si>
  <si>
    <t>33195110-7</t>
  </si>
  <si>
    <t>Mmtto. Eléctrico de instalaciones de EMASA</t>
  </si>
  <si>
    <t>Reparacion de Bombas</t>
  </si>
  <si>
    <t>Suministro de materiales eléctricos</t>
  </si>
  <si>
    <t>31000000-6 </t>
  </si>
  <si>
    <t xml:space="preserve">Suministro y mantenimiento mediante renting de equipos de detección fijos de gases </t>
  </si>
  <si>
    <t>38543000-3</t>
  </si>
  <si>
    <t>6 AÑOS</t>
  </si>
  <si>
    <t>Mantenimiento GRANDES Variadores (más de  50kw)</t>
  </si>
  <si>
    <t>Mant. Programación de sistemas de automatización de EMASA</t>
  </si>
  <si>
    <t>SDA Suministro material electrónico, hardware y sensorización</t>
  </si>
  <si>
    <t>31700000-3</t>
  </si>
  <si>
    <t>Instalacion y mant. sensores detección alivios</t>
  </si>
  <si>
    <t>50410000-2 </t>
  </si>
  <si>
    <t>Verificación y Mantenimiento instrumentos pesaje Plantas</t>
  </si>
  <si>
    <t xml:space="preserve">Mantenimiento de climatización Suministro y montaje de eqipos de aire acondicionado </t>
  </si>
  <si>
    <t>Mmtto. Preventivo Instalaciones contraincendios</t>
  </si>
  <si>
    <t>Acuerdo Marco de servicio de alquiler de maquinaria para los trabajos de reparación, mantenimiento y conservación de las instalaciones</t>
  </si>
  <si>
    <t>60182000-7 </t>
  </si>
  <si>
    <t>Acuerdo Marco de servicio para trabajos especializados de mecanización de ejes, transmisiones y otros elementos similares utilizados en el taller mecánico.</t>
  </si>
  <si>
    <t>50710000-5 </t>
  </si>
  <si>
    <t>Mantenimiento de las instalaciones de Media Tensión</t>
  </si>
  <si>
    <t>Servicio de Inspecciones reglamentarias para los aparatos elevadores</t>
  </si>
  <si>
    <t>71631000-0  </t>
  </si>
  <si>
    <t>Mantenimiento de puertas automáticas</t>
  </si>
  <si>
    <t>Mantenimiento de grupos generadores</t>
  </si>
  <si>
    <t>Servicio de Jardinería.</t>
  </si>
  <si>
    <t>77311000-3 </t>
  </si>
  <si>
    <t>Compra de vehículos</t>
  </si>
  <si>
    <t>34100000-8  </t>
  </si>
  <si>
    <t>Control de plagas</t>
  </si>
  <si>
    <t>90922000-6</t>
  </si>
  <si>
    <t>Retribución Flexible</t>
  </si>
  <si>
    <t>79340000-9</t>
  </si>
  <si>
    <t xml:space="preserve">Asesoría Jurídica </t>
  </si>
  <si>
    <t>79110000-8</t>
  </si>
  <si>
    <t>Selección de Personal</t>
  </si>
  <si>
    <t>7900000-4</t>
  </si>
  <si>
    <t>Seguimiento de RRSS y contenido WEB</t>
  </si>
  <si>
    <t>Seguimiento y análisis del impacto en medios de comunicación e internet de la Empresa Municipal Aguas de Málaga, S.A.</t>
  </si>
  <si>
    <t>Servicio de Gestión e Impartición del Programa de Formación de EMASA</t>
  </si>
  <si>
    <t>79632000-3</t>
  </si>
  <si>
    <t>Plataforma de gestión de comunicación interna</t>
  </si>
  <si>
    <t xml:space="preserve"> 92400000 79340000</t>
  </si>
  <si>
    <t>Servicio de creación de biblioteca audiovisual para usos interno y externo</t>
  </si>
  <si>
    <t>92511000-6</t>
  </si>
  <si>
    <t>Programa de BIENE+C426:C435star integral</t>
  </si>
  <si>
    <t>71317200-5</t>
  </si>
  <si>
    <t>CM-CSS obras singulares</t>
  </si>
  <si>
    <t>71317210-8
71317200-5
71318000-0</t>
  </si>
  <si>
    <t>CSS obra olletas</t>
  </si>
  <si>
    <t>71317210-8
71317200-5</t>
  </si>
  <si>
    <t>CM-zapatos de seguridad EMASA</t>
  </si>
  <si>
    <t>Vestuario laboral EMASA</t>
  </si>
  <si>
    <t>18100000-0</t>
  </si>
  <si>
    <t>SPA ergonomía</t>
  </si>
  <si>
    <t>SPA psicosocial</t>
  </si>
  <si>
    <t>Cae EMASA</t>
  </si>
  <si>
    <t>71317200-5 
71317210-8</t>
  </si>
  <si>
    <t>Consejero mercancías peligrosas</t>
  </si>
  <si>
    <t>71317210-8
63712000-3</t>
  </si>
  <si>
    <t>Hombre caído</t>
  </si>
  <si>
    <t>35120000-1</t>
  </si>
  <si>
    <t>Revisión planes emergencia</t>
  </si>
  <si>
    <t>79417000-0</t>
  </si>
  <si>
    <t>Diphoterine</t>
  </si>
  <si>
    <t>Diseño gráfico accidentes</t>
  </si>
  <si>
    <t>2231400-4</t>
  </si>
  <si>
    <t>Revisión líneas de vida</t>
  </si>
  <si>
    <t>71317200-5
45453000-7</t>
  </si>
  <si>
    <t>SPA higiene</t>
  </si>
  <si>
    <t>71317200-5
71317210-8</t>
  </si>
  <si>
    <t>Mantenimiento ERA EMASA</t>
  </si>
  <si>
    <t>35111100-6</t>
  </si>
  <si>
    <t>Servicios de salud</t>
  </si>
  <si>
    <t>Mantenimiento alarma/ CCTV EMASA</t>
  </si>
  <si>
    <t>35113300-2
35120000-1</t>
  </si>
  <si>
    <t>Vigilantes seguridad y auxiliares</t>
  </si>
  <si>
    <t>EMPRESA MALAGUEÑA DE TRANSPORTES, S.A.M.</t>
  </si>
  <si>
    <t>Gerencia de la Empresa Malagueña de Transportes, S.A.M.</t>
  </si>
  <si>
    <t>Sistema de clasificación propio señalizaciones, mantenimientos y obras menores</t>
  </si>
  <si>
    <t>50230000-6</t>
  </si>
  <si>
    <t>Acuerdo marco servicios de redacción de proyectos y consultoría técnica</t>
  </si>
  <si>
    <t>71356200-0 71530000-2</t>
  </si>
  <si>
    <t>Sistema dinámico de adquisición de gases industriales</t>
  </si>
  <si>
    <t xml:space="preserve">24110000-8 
44612100-4 </t>
  </si>
  <si>
    <t>Sistema clasificación propio suministro carburantes flota</t>
  </si>
  <si>
    <t>Sistema clasificación propio suministro ADBLUE</t>
  </si>
  <si>
    <t xml:space="preserve">24957000-7 </t>
  </si>
  <si>
    <t>Sistema clasificación propio suministro recambios flota</t>
  </si>
  <si>
    <t xml:space="preserve">Sistema de clasificación propio de consultoría y formación </t>
  </si>
  <si>
    <t>80500000 790000000</t>
  </si>
  <si>
    <t>Presidencia del Consejo de Administración de la Empresa Malagueña de Transportes S.A.M.</t>
  </si>
  <si>
    <t>Sistema clasificación propio suministro material papelería, electrónica e informática</t>
  </si>
  <si>
    <t>Sistema clasificación propio mantenimiento y servicios varios</t>
  </si>
  <si>
    <t xml:space="preserve">15000000
32000000 4000000
34300000
35000000
42000000
45000000
50000000
51000000
55000000
85000000
90000000
92512000
</t>
  </si>
  <si>
    <t>Servicio de mantenimiento y actualización software nóminas</t>
  </si>
  <si>
    <t>Suministro de equipamiento embarcado y software específico que incorporan los vehículos que componen la flota de EMT</t>
  </si>
  <si>
    <t xml:space="preserve">32570000-9  32420000-3 </t>
  </si>
  <si>
    <t>Explotación publicitaria exterior de autobuses</t>
  </si>
  <si>
    <t xml:space="preserve"> 79340000-9</t>
  </si>
  <si>
    <t>Cesión uso paradas para explotación linea bus turístico</t>
  </si>
  <si>
    <t>Servicios de adquirencia y pasarela de pagos para tarjeta</t>
  </si>
  <si>
    <t>72212900-8</t>
  </si>
  <si>
    <t>Suministro de tarjetas sin contacto mifare</t>
  </si>
  <si>
    <t>Coordinador de seguridad y salud</t>
  </si>
  <si>
    <t xml:space="preserve">71317200-5 </t>
  </si>
  <si>
    <t>Servicios de auditorías, certificación de los sistemas integrados de gestión implantados, y verificación anual del estado de información no financiera de EMTSAM</t>
  </si>
  <si>
    <t>79210000
79132000 
90714000</t>
  </si>
  <si>
    <t>Aceite motor, aceite caja de cambio y grupos diferenciales y refrigerante</t>
  </si>
  <si>
    <t xml:space="preserve">09211900-0 
09211000-1 
24951100-6 
09211100-2 
09211400-5 
24951311-8 
24963000-2 </t>
  </si>
  <si>
    <t>Servicio mantenimiento de las instalaciones de protección contra incendios</t>
  </si>
  <si>
    <t xml:space="preserve"> 50413200-5  51700000-9 </t>
  </si>
  <si>
    <t>Adquisición de 4 carretillas elevadoras eléctricas</t>
  </si>
  <si>
    <t>Servicio mantenimiento sistema extinción de incendios en vehículos DAFO</t>
  </si>
  <si>
    <t>Mantenimiento y actualización hastus</t>
  </si>
  <si>
    <t>mo</t>
  </si>
  <si>
    <t>Asfaltado explanada nuevas instalaciones</t>
  </si>
  <si>
    <t>Ampliación explanada aparcamientos inc.muro RENFE</t>
  </si>
  <si>
    <t>Suministro e instalación de iluminación guía de acceso a fosas</t>
  </si>
  <si>
    <t>45310000-3</t>
  </si>
  <si>
    <t>Adquisición de camión remolque con cuchara</t>
  </si>
  <si>
    <t>Suministro e instalación de persianas automáticas para cierre de fosas</t>
  </si>
  <si>
    <t>Suministro lavadora al paso de vehículos (nuevas instalaciones)</t>
  </si>
  <si>
    <t>Suministro estantería paletización para carpa</t>
  </si>
  <si>
    <t>Digitalización suministros de líquidos</t>
  </si>
  <si>
    <t>Mantenimiento y reparación baterías y electrónica de potencia buses eléctricos</t>
  </si>
  <si>
    <t>15 AÑOS (vida util)</t>
  </si>
  <si>
    <t>Suministro y mantenimiento nuevo programa de gestión empresarial (digitalización de la administración)</t>
  </si>
  <si>
    <t>48440000-4</t>
  </si>
  <si>
    <t>10 AÑOS</t>
  </si>
  <si>
    <t>Servicio jurídico laboral</t>
  </si>
  <si>
    <t>75231000-4 85312320-8</t>
  </si>
  <si>
    <t>Virtualización de tarjeta transporte y ABT (Account Bases Ticketing)</t>
  </si>
  <si>
    <t>Suministro tarjetas DESFIRE</t>
  </si>
  <si>
    <t>Servicio de gestión residuos peligrosos y no peligrosos</t>
  </si>
  <si>
    <t>90513000-6 90520000-8</t>
  </si>
  <si>
    <t>Servicios de  reparación de los catalizadores</t>
  </si>
  <si>
    <t>Servicio para la adecuación y fortalecimiento de la seguridad de la información conforme al esquema nacional de seguridad (ENS) 2.0</t>
  </si>
  <si>
    <t xml:space="preserve">72222300-0  72317000-6 </t>
  </si>
  <si>
    <t>Visionado de cámaras</t>
  </si>
  <si>
    <t>80. 000 €</t>
  </si>
  <si>
    <t xml:space="preserve"> 32323500 35120000 </t>
  </si>
  <si>
    <t xml:space="preserve">Certificación de calidad </t>
  </si>
  <si>
    <t xml:space="preserve">Prestación de servicios técnicos de desarrollo y mantenimiento de sofware de gestion coorporativa (ERP), así como de suministro de recambios para los equipos hardware de relacionados con el funcionamiento </t>
  </si>
  <si>
    <t xml:space="preserve">72212000-5  30200000-3 </t>
  </si>
  <si>
    <t>Mantenimiento de sofware de gestion CMS (Content Management System o Sistema De Gestión De Contenidos) así como de suministro de recambios para los equipos hardware embarcados SIU</t>
  </si>
  <si>
    <t>Servicio de comunicaciones M2M</t>
  </si>
  <si>
    <t xml:space="preserve">32400000-5  72600000-7 </t>
  </si>
  <si>
    <t xml:space="preserve">Suministro máquinas expendedoras de billetes QR </t>
  </si>
  <si>
    <t xml:space="preserve">34950000-4 </t>
  </si>
  <si>
    <t xml:space="preserve">3 MESES </t>
  </si>
  <si>
    <t>Instalación surtidores gasoil</t>
  </si>
  <si>
    <t>42122220-0</t>
  </si>
  <si>
    <t>Obras de ampliación de las zonas de aparcamiento</t>
  </si>
  <si>
    <t>45112500-0
45233220-7</t>
  </si>
  <si>
    <t>Instalación de placas solares</t>
  </si>
  <si>
    <t>45311200-2
09331200-0</t>
  </si>
  <si>
    <t>Instalación de una baterías 3mw</t>
  </si>
  <si>
    <t>45311200-2</t>
  </si>
  <si>
    <t>Instalación de estructura soporte placas solares</t>
  </si>
  <si>
    <t>45223210-1</t>
  </si>
  <si>
    <t>Instalación sistema contra incendios en las nuevas instalaciones</t>
  </si>
  <si>
    <t>45343000-3</t>
  </si>
  <si>
    <t>Autobuses articulados híbridos (40 udes+520,000e/udad)</t>
  </si>
  <si>
    <t>Autobuses eléctricos 12m (40 udes+630,000e/udad)</t>
  </si>
  <si>
    <t>PARQUE CEMENTERIO DE MÁLAGA, S.A.</t>
  </si>
  <si>
    <t>Valor estimado (IVA excl) (€)</t>
  </si>
  <si>
    <t>Gerencia del Parque Cementerio de Málaga, S.A.</t>
  </si>
  <si>
    <t xml:space="preserve">Suministro de prelapidas </t>
  </si>
  <si>
    <t xml:space="preserve">39714200-1 </t>
  </si>
  <si>
    <t>Suministro de neceseres</t>
  </si>
  <si>
    <t xml:space="preserve">39200000-1 </t>
  </si>
  <si>
    <t xml:space="preserve">Sumnistro de uniformidad  </t>
  </si>
  <si>
    <t xml:space="preserve">18100000-8 </t>
  </si>
  <si>
    <t>Mantenimiento Centro de Transformación y Linea Aerea de Media Tensión</t>
  </si>
  <si>
    <t xml:space="preserve">50531100-7 </t>
  </si>
  <si>
    <t>Servicios externos de asesoramiento fiscal, cotable, financiero y laboral de PARCEMASA</t>
  </si>
  <si>
    <t xml:space="preserve">79200000-2 </t>
  </si>
  <si>
    <t>Tratamiento de residuos peligrosos</t>
  </si>
  <si>
    <t xml:space="preserve"> SI</t>
  </si>
  <si>
    <t xml:space="preserve">90511100-2 </t>
  </si>
  <si>
    <t>Mantenimiento de vehiculos</t>
  </si>
  <si>
    <t xml:space="preserve">50110000-2 </t>
  </si>
  <si>
    <t>Servicio de mantenimiento de los sistemas de proteccion contra incendios</t>
  </si>
  <si>
    <t xml:space="preserve">50710000-5 </t>
  </si>
  <si>
    <t>Suministro de Gas natural</t>
  </si>
  <si>
    <t xml:space="preserve">09132000-4 </t>
  </si>
  <si>
    <t>1 AÑOS</t>
  </si>
  <si>
    <t>Suministro electrico</t>
  </si>
  <si>
    <t xml:space="preserve">09310000-5 </t>
  </si>
  <si>
    <t xml:space="preserve">MIXTO </t>
  </si>
  <si>
    <t xml:space="preserve">suministro/ servicio software gestion RRHH </t>
  </si>
  <si>
    <t xml:space="preserve">72214000-7 </t>
  </si>
  <si>
    <t xml:space="preserve">SERVICIOS </t>
  </si>
  <si>
    <t>Mantenimiento de camaras frigorificas y climatizacion</t>
  </si>
  <si>
    <t xml:space="preserve">50720000-8 </t>
  </si>
  <si>
    <t>EMPRESA MUNICIPAL INICIATIVAS Y ACTIVIDAD MÁLAGA, S.A.</t>
  </si>
  <si>
    <t>Dirección Gerencia de la Empresa Municipal de Iniciativas y Actividades Empresariales de Málaga S.A.</t>
  </si>
  <si>
    <t>Servicio de conserjeria para incubadora Promálaga I+D</t>
  </si>
  <si>
    <t xml:space="preserve">Servicio de recepción para las Oficinas Centrales de Promálaga </t>
  </si>
  <si>
    <t xml:space="preserve">79992000-4 </t>
  </si>
  <si>
    <t>Servicio de Asistencia y Apoyo en tareas auxiliares de Infraestructuras</t>
  </si>
  <si>
    <t>71356200  71356300</t>
  </si>
  <si>
    <t>Servicio de Mantenimiento para la Red Municipal de Incubadoras y las Oficinas Centrales</t>
  </si>
  <si>
    <t>Servicio de Limpieza para la Red Municipal de Incubadoras y las Oficinas Centrales</t>
  </si>
  <si>
    <t>Servicio de Jardinería para la Red Municipal de Incubadoras y las Oficinas Centrales</t>
  </si>
  <si>
    <t>77311000-3</t>
  </si>
  <si>
    <t>OBRASs</t>
  </si>
  <si>
    <t>Reparación de Pavimentación exterior en Promálaga Excelencia</t>
  </si>
  <si>
    <t>Consejo de Administración de la Empresa Municipal de Iniciativas y Actividades Empresariales de Málaga S.A.</t>
  </si>
  <si>
    <t>Reforma Sede Promálaga Central</t>
  </si>
  <si>
    <t>Servicio de recepción y apoyo a la Red Municipal de Incubadoras</t>
  </si>
  <si>
    <t>79410000-79500000</t>
  </si>
  <si>
    <t>Servicio de datos y conexión a Internet para los edificios de Promálaga</t>
  </si>
  <si>
    <t>Servicio Endpoint (MDR Y EASM)</t>
  </si>
  <si>
    <t>Servico de licenciamiento Microsoft 365</t>
  </si>
  <si>
    <t>Servicio de servidores cloud y backup en cloud de servidores On Premise</t>
  </si>
  <si>
    <t>Servicio de protección en ciberseguridad de dominios</t>
  </si>
  <si>
    <t>Dirección General del Palacio de Ferias y Congresos de Málaga</t>
  </si>
  <si>
    <t>Servicio administrativo de RRHH</t>
  </si>
  <si>
    <t>Suministro en régimen de alquiler de fontanería en eventos</t>
  </si>
  <si>
    <t>45330000</t>
  </si>
  <si>
    <t>Suministro en régimen de alquiler de carretillas elevadoras</t>
  </si>
  <si>
    <t>Mantenimiento de ascensores</t>
  </si>
  <si>
    <t>Servicio de monitorización de servidores Polo</t>
  </si>
  <si>
    <t>48820000</t>
  </si>
  <si>
    <t>Consultoría de software para el ERP de FYCMA</t>
  </si>
  <si>
    <t>Auditoría y consultoría de sistemas de gestión</t>
  </si>
  <si>
    <t xml:space="preserve">Servicio de implementación de facturación electrónica </t>
  </si>
  <si>
    <t>72000000  48000000</t>
  </si>
  <si>
    <t>Gas natural</t>
  </si>
  <si>
    <t>Mantenimiento aire acondicionado</t>
  </si>
  <si>
    <t>Servicio de prevención y vigilancia de la salud</t>
  </si>
  <si>
    <t>Agencia de medios de comunicación</t>
  </si>
  <si>
    <t>Mantenimiento de instalaciones</t>
  </si>
  <si>
    <t>Dirección de proyectos y gestión de programas tecnológicos y entornos de innovación</t>
  </si>
  <si>
    <t>72224000 79410000</t>
  </si>
  <si>
    <t>Licencias Oracle</t>
  </si>
  <si>
    <t>48781000  72260000</t>
  </si>
  <si>
    <t>Seguro de Responsabilidad Civil</t>
  </si>
  <si>
    <t>66516400  66516000</t>
  </si>
  <si>
    <t>Legalización eléctrica y estructural</t>
  </si>
  <si>
    <t>45310000  71323100</t>
  </si>
  <si>
    <t>Redacción del proyecto de ejecución de la sala de máquinas</t>
  </si>
  <si>
    <t>Pantalla led para el POLO</t>
  </si>
  <si>
    <t>EMPRESA LIMPIEZAS MUNICIPALES Y PARQUE DEL OESTE, S.A.M.</t>
  </si>
  <si>
    <t>Presidencia del Consejo de Administración de la Empresa de Limpiezas Municipales y Parque del Oeste, S.A.M.</t>
  </si>
  <si>
    <t>Suministro vehiculo Pick-up con deposito  equipo baldeo</t>
  </si>
  <si>
    <t>Suministro de maquinas fregadoras</t>
  </si>
  <si>
    <t>Suministro Vehiculo electrico</t>
  </si>
  <si>
    <t>34144900-7</t>
  </si>
  <si>
    <t>Gerencia de la Empresa de Limpiezas Municipales y Parque del Oeste, S.A.M.</t>
  </si>
  <si>
    <t>Servicio de vigilancia y seguridad en las instalaciones del Parque del Oeste</t>
  </si>
  <si>
    <t>Servicio de reparación y mantenimiento de maquinaria perteneciente a LIMPOSAM utilizada en el Parque del Oeste</t>
  </si>
  <si>
    <t>Suministro de productos de ferretería (herramientas, construcción, aseos y baños, iluminación y electricidad, pintura, jardinería, señalización y seguridad) para el mantenimiento de las instalaciones del Parque del Oeste</t>
  </si>
  <si>
    <t>44500000 / 44000000</t>
  </si>
  <si>
    <t>Póliza de seguros de Seguro de daños materiales</t>
  </si>
  <si>
    <t>Póliza de seguros de Responsabilidad de Altos Cargos y Gestores de Entidades Públicas</t>
  </si>
  <si>
    <t>Servicio para el tratamiento fitosanitario contra el picudo rojo (rhynchophorus ferrugineus) y para la prevención y control de población de la procesionaria del pino (thaumetopoea pityocampa) en el Parque del Oeste</t>
  </si>
  <si>
    <t>Licenciamiento, soporte y mantenimiento de Sage 200c</t>
  </si>
  <si>
    <t>50324100-3</t>
  </si>
  <si>
    <t>Servicio de reparación y mantenimiento de maquinaria perteneciente a la Empresa de Limpiezas Municipales y Parque del Oeste, S.A.M.</t>
  </si>
  <si>
    <t>Servicio de certificación y seguimiento del sistema de gestión de CALIDAD, de acuerdo con las normas UNE EN-ISO 9001, UNE EN-ISO 14001, UNE EN-ISO 45001 y UNE 170001</t>
  </si>
  <si>
    <t>79212000-3</t>
  </si>
  <si>
    <t>Eliminación de muros laterales que fragmentan el Parque Oeste</t>
  </si>
  <si>
    <t xml:space="preserve">	
45000000-Trabajos de construcción.</t>
  </si>
  <si>
    <t>MÁS CERCA, S.A.M.</t>
  </si>
  <si>
    <t>Presidencia de Más Cerca S.A.M.</t>
  </si>
  <si>
    <t xml:space="preserve">Limpiezas de centros de uso social </t>
  </si>
  <si>
    <t>Telefonia</t>
  </si>
  <si>
    <t xml:space="preserve">64200000-8 </t>
  </si>
  <si>
    <t>Equipos de protección individual</t>
  </si>
  <si>
    <t xml:space="preserve">18143000-3 </t>
  </si>
  <si>
    <t>Material de oficina</t>
  </si>
  <si>
    <t xml:space="preserve">30197000-6 
30190000-7 </t>
  </si>
  <si>
    <t>Auditoria financiera</t>
  </si>
  <si>
    <t xml:space="preserve">Limpieza del Centro de Acogida Municipal </t>
  </si>
  <si>
    <t>MÁLAGA DEPORTES Y EVENTOS, S.A.</t>
  </si>
  <si>
    <t xml:space="preserve">Presidencia de Málaga Deportes y Eventos S.A.M. </t>
  </si>
  <si>
    <t>Mantenimiento SAGE</t>
  </si>
  <si>
    <t>Mantenimiento WCronos</t>
  </si>
  <si>
    <t>Seguros</t>
  </si>
  <si>
    <t>66000000-0  66510000-8</t>
  </si>
  <si>
    <t>Auditoria financiera  cuentas anuales 2026, 2027 y 2028</t>
  </si>
  <si>
    <t>79212000-3         79212100-4</t>
  </si>
  <si>
    <t>Gas</t>
  </si>
  <si>
    <t>9123000 6521000</t>
  </si>
  <si>
    <t>Voz y datos</t>
  </si>
  <si>
    <t>64212000-5 72400000-4</t>
  </si>
  <si>
    <t>Ascensores</t>
  </si>
  <si>
    <t>50750000-7</t>
  </si>
  <si>
    <t>Trabajo en altura</t>
  </si>
  <si>
    <t xml:space="preserve">Producción videomarcador </t>
  </si>
  <si>
    <t xml:space="preserve">Gradas y asientos </t>
  </si>
  <si>
    <t>Pavimento deportivo</t>
  </si>
  <si>
    <t>Rehabilitación de fachadas</t>
  </si>
  <si>
    <t>45443000-4</t>
  </si>
  <si>
    <t>Arrendamiento espacios</t>
  </si>
  <si>
    <t>INGRESO</t>
  </si>
  <si>
    <t xml:space="preserve">Servicio de comercialización de espacios publicitarios </t>
  </si>
  <si>
    <t>79341000-6</t>
  </si>
  <si>
    <t>Asesoría jurídica y canal de denuncia</t>
  </si>
  <si>
    <t>EMPRESA MUNICIPAL APARCAMIENTOS Y SERVICIOS, S.A.</t>
  </si>
  <si>
    <t>Gerencia de la Sociedad Municipal de Aparcamientos y Servicios, S.A.</t>
  </si>
  <si>
    <t>SUMINISTRO y SERVICIOS</t>
  </si>
  <si>
    <t>Suministro software Microsoft 365</t>
  </si>
  <si>
    <t xml:space="preserve">48223000-7 48310000-4 48422000-2 50324100 - 3 </t>
  </si>
  <si>
    <t>Autocad LT</t>
  </si>
  <si>
    <t xml:space="preserve"> 48321000-4 50324100 - 3</t>
  </si>
  <si>
    <t>Presidencia del Sociedad Municipal de Aparcamientos y Servicios, S.A</t>
  </si>
  <si>
    <t>Mantenimiento de un sistema para el suministro inmediato de información(SII)</t>
  </si>
  <si>
    <t>Mantenimiento correctivo y evolutivo del software de registro de entrada y salida de documentación</t>
  </si>
  <si>
    <r>
      <t xml:space="preserve">Adquisición de software con licencia perpetua </t>
    </r>
    <r>
      <rPr>
        <sz val="10"/>
        <color rgb="FF000000"/>
        <rFont val="Matter Light"/>
      </rPr>
      <t>Database Standard Edition 2, incluyendo servicios de instalación, formación y soporte técnico</t>
    </r>
  </si>
  <si>
    <t>48611000-4 72267000-4</t>
  </si>
  <si>
    <t xml:space="preserve">Servicios Postales </t>
  </si>
  <si>
    <t>Formación CAP</t>
  </si>
  <si>
    <t xml:space="preserve">4 AÑOS </t>
  </si>
  <si>
    <t>SUMINISTRO OBRAS</t>
  </si>
  <si>
    <t xml:space="preserve">Casetas portables SAC: suminstro, transporte e instalación , conexiones y documentación </t>
  </si>
  <si>
    <t>44211100-3  45223800-4</t>
  </si>
  <si>
    <t>Redacción documentación técnica adecuación oficina SAC</t>
  </si>
  <si>
    <t>71242000-6</t>
  </si>
  <si>
    <t xml:space="preserve">Obras adecuación oficina SAC e instalación casetas </t>
  </si>
  <si>
    <t>45213150-9          45213400-7          45212230-7</t>
  </si>
  <si>
    <t xml:space="preserve">Proyecto reparación en oficinas centrales </t>
  </si>
  <si>
    <t xml:space="preserve">Reparacion en oficinas centrales </t>
  </si>
  <si>
    <t>54213150-9</t>
  </si>
  <si>
    <t xml:space="preserve">Martín Carpena Estudios Geotécnicos </t>
  </si>
  <si>
    <t>71332000-4</t>
  </si>
  <si>
    <t xml:space="preserve">8 MESES </t>
  </si>
  <si>
    <t xml:space="preserve">Disuasorio Martín Carpena Proyectos </t>
  </si>
  <si>
    <t xml:space="preserve">Disuasorio Totalán Estudios Geotécnicos </t>
  </si>
  <si>
    <t>Proyecto disuasorio Totalán</t>
  </si>
  <si>
    <t xml:space="preserve">Consejo de Administración de la Sociedad Municipal de Aparcamientos y Servicios </t>
  </si>
  <si>
    <t xml:space="preserve">Baños del Carmen </t>
  </si>
  <si>
    <t>45223300-9               45223320-5</t>
  </si>
  <si>
    <t>Asperones obras de adecuación normativa PCI</t>
  </si>
  <si>
    <t>45211360-0               45233140-2              51820000-6            45343000-3</t>
  </si>
  <si>
    <t>Redacción PIU Princesa</t>
  </si>
  <si>
    <t>71242000-6         45211360-0                   45233140-2</t>
  </si>
  <si>
    <t xml:space="preserve">Piu Princesa </t>
  </si>
  <si>
    <t> 45211360-0   45233140-2   </t>
  </si>
  <si>
    <t xml:space="preserve">Suministro material ferreteria </t>
  </si>
  <si>
    <t>44316000-8 </t>
  </si>
  <si>
    <t>Trabajos de pintura y señalización SARE y aparcamientos y dependencias de SMASSA</t>
  </si>
  <si>
    <t xml:space="preserve">50000000-5    45233221
   34928471
44811000    </t>
  </si>
  <si>
    <t xml:space="preserve">Servicio de retirada, traslado y/o depósito con grua para servicios </t>
  </si>
  <si>
    <t xml:space="preserve"> 50118110-9  </t>
  </si>
  <si>
    <t>FUNDACIÓN FELIX REVELLO DE TORO</t>
  </si>
  <si>
    <t>Gerencia de la Fundación Félix Revello de Toro</t>
  </si>
  <si>
    <t>Azafatas, atención en sala</t>
  </si>
  <si>
    <t>79342320</t>
  </si>
  <si>
    <t>Servicios de limpieza</t>
  </si>
  <si>
    <t>90911000</t>
  </si>
  <si>
    <t>Seguridad</t>
  </si>
  <si>
    <t>79713000</t>
  </si>
  <si>
    <t>FUNDACIÓN PÚBLICA PALACIO VILLALÓN</t>
  </si>
  <si>
    <t>Gerencia de la Fundación Palacio de Villalón (Patronato)</t>
  </si>
  <si>
    <t>Transporte de Obras de Arte Exposición</t>
  </si>
  <si>
    <t>60100000-9</t>
  </si>
  <si>
    <t>Atención al Visitante</t>
  </si>
  <si>
    <t>98341100-6</t>
  </si>
  <si>
    <t>Seguridad y Vigilancia</t>
  </si>
  <si>
    <t>Limpieza</t>
  </si>
  <si>
    <t>FUNDACIÓN MUNICIPAL RAFAEL PÉREZ ESTRADA</t>
  </si>
  <si>
    <t>Patronato de la Fundación Rafael Pérez Estrada</t>
  </si>
  <si>
    <t>Comunicación y gestión de RR.SS.</t>
  </si>
  <si>
    <t> 28.782,00 € </t>
  </si>
  <si>
    <t xml:space="preserve">79340000-9 79341000-6  79341200-6  79341400-0 </t>
  </si>
  <si>
    <t>Servicios de asesoría contable, fiscal y laboral</t>
  </si>
  <si>
    <t>79200000-6  79211110-0</t>
  </si>
  <si>
    <t>ORQUESTA CIUDAD DE MÁLAGA</t>
  </si>
  <si>
    <t>Gerente del Consorcio Orquesta Ciudad de Málaga</t>
  </si>
  <si>
    <t>Conserjeria</t>
  </si>
  <si>
    <t>Pagina web y redes sociales</t>
  </si>
  <si>
    <t>72400000-4</t>
  </si>
  <si>
    <t>Publicidad Radiofonica</t>
  </si>
  <si>
    <t>Transporte de personal</t>
  </si>
  <si>
    <t>60140000-1</t>
  </si>
  <si>
    <t>Transporte instrumentos</t>
  </si>
  <si>
    <t>Material de imprenta</t>
  </si>
  <si>
    <t>22460000-2</t>
  </si>
  <si>
    <t>LIMPIEZAS DE MÁLAGA, S.A.M.</t>
  </si>
  <si>
    <t>Dirección Gerencia de Limpieza de Málaga Sociedad Anónima Municipal</t>
  </si>
  <si>
    <t>Adquisición pequeño inmovilizado</t>
  </si>
  <si>
    <t xml:space="preserve">Consejo de Administración de Limpieza de Málaga Sociedad Anónima Municipal
</t>
  </si>
  <si>
    <t>MIXTO: SUMINISTRO OBRAS</t>
  </si>
  <si>
    <t>Suministro e instalación sistema recuperación film en la planta TMB</t>
  </si>
  <si>
    <t>42914000, 45000000</t>
  </si>
  <si>
    <t>Suministro e instalación Cinta reversible fracción &lt; 50 mm</t>
  </si>
  <si>
    <t>45222100, 45000000</t>
  </si>
  <si>
    <t>Vertedero RSU</t>
  </si>
  <si>
    <t>Suministro e instalación Geocompuestos</t>
  </si>
  <si>
    <t>45240000, 45222110, 45261420</t>
  </si>
  <si>
    <t>Presidencia de Limpieza de Málaga Sociedad Anónima Municipal</t>
  </si>
  <si>
    <t>Suministro Canto rodado</t>
  </si>
  <si>
    <t> 14210000</t>
  </si>
  <si>
    <t>Actuaciones varias planificación preventiva</t>
  </si>
  <si>
    <t>Suministro y modificación de las cabinas de conexión del Centro Frontera del CAM</t>
  </si>
  <si>
    <t xml:space="preserve">45315300-1                                                                                                                                 45317000-2 </t>
  </si>
  <si>
    <t>Suministro repuestos plantas tratamiento</t>
  </si>
  <si>
    <t xml:space="preserve">servicios de cribado, (tromel, precribador ..)  de residuos para  producción  </t>
  </si>
  <si>
    <t>90500000-2,  90513000-6</t>
  </si>
  <si>
    <t>Servicio de puesta a disposición de camiones y/o maquinaria con
conductor o maquinista para el movimiento de tierras y residuos en
el Centro Ambiental , (giratoria pinzas, pala ruedas, ..)</t>
  </si>
  <si>
    <t>caracterización de residuos conforme a normativa de aplicación</t>
  </si>
  <si>
    <t>79723000, 90500000, 71600000</t>
  </si>
  <si>
    <t>pruebas AT4 materia orgánica y su  admisión en vertedero</t>
  </si>
  <si>
    <t xml:space="preserve">71313000, 90500000, 71600000 </t>
  </si>
  <si>
    <t>servicio alquiler máquina giratoria con pinzas y maquinista</t>
  </si>
  <si>
    <t xml:space="preserve">90513000-6, 60182000-7 </t>
  </si>
  <si>
    <t>Controles analíticos proceso compostaje</t>
  </si>
  <si>
    <t>71313000, 90500000, 71600000</t>
  </si>
  <si>
    <t>suministro bombas lixiviados</t>
  </si>
  <si>
    <t>servicio de topografía</t>
  </si>
  <si>
    <t>servicio de cetrería en vertedero</t>
  </si>
  <si>
    <t>conservación cunetas pluviales dentro del vertedero</t>
  </si>
  <si>
    <t>alimentador planta envases</t>
  </si>
  <si>
    <t xml:space="preserve">Suministro e instalación de equipos de aire acondicionado en planta envases </t>
  </si>
  <si>
    <t xml:space="preserve">39717200,  42512000-8 </t>
  </si>
  <si>
    <t>7 MESES</t>
  </si>
  <si>
    <t>Suministro Tractor con remolque cisterna</t>
  </si>
  <si>
    <t>34223340-7 
16700000-2</t>
  </si>
  <si>
    <t>Camión multibasculante de 3 y 4 ejes</t>
  </si>
  <si>
    <t>34144511 
42418940-0  
34140000-0 
34134200-7</t>
  </si>
  <si>
    <t>Vehículo auxiliar de CAM</t>
  </si>
  <si>
    <t xml:space="preserve">42415100-9 
44481000-5    
34514700-0    
34951000-8    
34952000-5    </t>
  </si>
  <si>
    <t>MIXTO: SERVICIOS SUMINISTRO</t>
  </si>
  <si>
    <t>Mantenimiento y suministros de repuestos para maquinaría vinculada al  servicio técnico oficial Bomag</t>
  </si>
  <si>
    <t xml:space="preserve">34300000-0
34310000-3
34139200-2
50530000-9
50100000-6
50116000-1 </t>
  </si>
  <si>
    <t>Mantenimiento y suministros de repuestos para maquinaría vinculada al servicio técnico oficial Atlas Copco</t>
  </si>
  <si>
    <t xml:space="preserve">3450000000-5
50324200-4    
24113200-1
39721321-8 </t>
  </si>
  <si>
    <t>Adquisición  de recambios por desgaste maquinaria</t>
  </si>
  <si>
    <t xml:space="preserve">34300000-0
34139200-2
50530000-9
50100000-6
50116000-1 </t>
  </si>
  <si>
    <t>Suministro y mantenimiento instalaciones de equipo salta presión para plantas</t>
  </si>
  <si>
    <t>42995100-4, 42990000-2,                                                       
50532000-3, 51410000-9</t>
  </si>
  <si>
    <t>Renting 9 vehículos 4x4 para CAM</t>
  </si>
  <si>
    <t>34113200-4
66114000-3</t>
  </si>
  <si>
    <t>MIXTO:  SERVICIOS SUMINISTRO</t>
  </si>
  <si>
    <t>Servicio de mantenimiento preventivo y correctivo de las instalaciones eléctricas (baja tensión) y los centros de transformación y líneas (media tensión) de LIMASAM.</t>
  </si>
  <si>
    <t xml:space="preserve">45315500-3, 45315600-4,  45317000-2 </t>
  </si>
  <si>
    <t>Grúas con Conductor</t>
  </si>
  <si>
    <t>45510000-5</t>
  </si>
  <si>
    <t>MIXTO: SUMINISTRO SERVICIOS</t>
  </si>
  <si>
    <t>Modificación Cabinas Centro Frontera</t>
  </si>
  <si>
    <t>45315500-3, 31161900-1, 31172000-2, 31214520-0,  31321220-0  31682300-3</t>
  </si>
  <si>
    <t>Mantenimiento de Puentes Grúa</t>
  </si>
  <si>
    <t>42414500-6</t>
  </si>
  <si>
    <t>Mantenimiento de plantas/caldedería</t>
  </si>
  <si>
    <t>45259000-7, 45259000-7, 45222100-0</t>
  </si>
  <si>
    <t>Reductores, Motores</t>
  </si>
  <si>
    <t>09211400-5, 09211500-6 , 31110000-0, 42121000-3, 42121400-7</t>
  </si>
  <si>
    <t>Servicio de mantenimientos preventivos y correctivos (principal), y del suministro (accesorio), en régimen de adquisición, de piezas y repuestos originales Jenbacher para los mantenimientos correctivos, para los 4 moto-generadores de producción energía eléctrica con biogás del vertedero en el CAM de LIMASAM</t>
  </si>
  <si>
    <t xml:space="preserve">50100000-6,
50116000-1 </t>
  </si>
  <si>
    <t>Suministro de bombas de aguas residuales y recirculación de lodos para la instalación de depuración de lixiviados en el Centro Ambiental, y del servicio de reparación de las bombas, motores eléctricos, estaciones de bombeo de lixiviados y de las aguas residuales de Limpieza de Málaga S.A.M</t>
  </si>
  <si>
    <t>42120000-6, 42121000-3, 50511000</t>
  </si>
  <si>
    <t>Suministro, en régimen de adquisición, de aceite lubricante para los motores generadores de energía eléctrica del centro ambiental</t>
  </si>
  <si>
    <t>09211000-1    </t>
  </si>
  <si>
    <t>Inspección OCAs de compresores y revisión anual compresor de metanol</t>
  </si>
  <si>
    <t>Servicio de controles ambientales en el complejo Medioambiental de Málaga y sedimentables</t>
  </si>
  <si>
    <t>34913000-0</t>
  </si>
  <si>
    <t>Adquisición de detergentes para el CAM</t>
  </si>
  <si>
    <t>Suministro de equipos de nanofiltración  y asistencia técnica</t>
  </si>
  <si>
    <t>42124100-5, 42996000-4</t>
  </si>
  <si>
    <t>revisión, reparación, calibración analizador portatil y equipos medición individual</t>
  </si>
  <si>
    <t>Servicio de desbroce y podas</t>
  </si>
  <si>
    <t>77312000-0, 77312100-1, 77341000-2</t>
  </si>
  <si>
    <t>Adquisición caseta prefabricada para instalación aula de formación medioambiental</t>
  </si>
  <si>
    <t>Mantenimientos correctivos instalaciones y flota y 2 mantenimientos preventivos trimestrales instalaciones y 1 semestral flota hasta inicio pliego PCI</t>
  </si>
  <si>
    <t xml:space="preserve">24951230-6
31625100-4  
31625200-5   
35111000-5  
44480000-8   
44482000-2    
44482100-3    
44482200-4    
45312100-8    
45343000-3    
45343220-1    
50413200-5    
51700000-9    </t>
  </si>
  <si>
    <t>Mantenimientos mensuales de limpieza de cristales (zonas industriales y pulpos)</t>
  </si>
  <si>
    <t>90911300-</t>
  </si>
  <si>
    <t>MIXTO: SUMINISTRO/SERVICIOS</t>
  </si>
  <si>
    <t>Suministro de cartelería de vinilos industriales y señalización varia y servicios accesorios asociados (diseño, colocación..)</t>
  </si>
  <si>
    <t>34928470, 79800000, 24911200</t>
  </si>
  <si>
    <t>Obra civil planta lixiviados</t>
  </si>
  <si>
    <t xml:space="preserve">45442180-2, 44610000, 45262500-6, 45232452-5, 45442100-8, 45442121-1, 45442180-2 , 45442110-5                         </t>
  </si>
  <si>
    <t>Obra civil acondicionamiento zona plantas: hormigonado y pendiente pluviales, rampa circulación peatonal</t>
  </si>
  <si>
    <t>45262500-6, 45233260</t>
  </si>
  <si>
    <t>Obras civiles varias: retirada badenes, reparaciones de arquetas, alicatados, cambio ubicación hidrante PCI en vial circulación plantas del CAM</t>
  </si>
  <si>
    <t>45431100-8, 45232410-9, 45111100-9, 45262522-6</t>
  </si>
  <si>
    <t>Suministro e instalación de alumbrados instalaciones (farolas, etc.)</t>
  </si>
  <si>
    <t>45316110, 31527260, 45316000</t>
  </si>
  <si>
    <t>Rehabilitación y alquitranado viales circulación (parcheos)</t>
  </si>
  <si>
    <t>Legalizaciones, reparaciones, retiradas y mantenimientos puertas industriales  y barreras automáticas (incluye medios de elevación)</t>
  </si>
  <si>
    <t>50712000-</t>
  </si>
  <si>
    <t>Cerramiento e instalación puerta corredera homologada para uso de almacén nave antiguo molino de neumáticos</t>
  </si>
  <si>
    <t>45440000-3, 44221230, 45261000-1</t>
  </si>
  <si>
    <t>Control de colonias de aves</t>
  </si>
  <si>
    <t>90922000, 90721600</t>
  </si>
  <si>
    <t>Inspecciones ocas de equipos e instalaciones en el CAM</t>
  </si>
  <si>
    <t>Extracción aire cabinas TMB y planta de envases. Extracción e impulsión aire planta de envases.</t>
  </si>
  <si>
    <t>Mantenimientos autómatas báscula del CAM</t>
  </si>
  <si>
    <t>Mano de obra trabajos mantenimientos fontanería: cambios y ampliación tuberías de lixiviados, pintura de aljibes, reparaciones de cisternas, grifos, tubos de saneamientos y contraincendios, etc. (guardia festivos y no laborables).</t>
  </si>
  <si>
    <t>Trabajos verticales de limpieza y pinturas de fachadas y cubiertas</t>
  </si>
  <si>
    <t>Techados aparcamientos</t>
  </si>
  <si>
    <t>Dualización de motores de combustible diésel a diésel-GLP para obtención etiqueta medioambiental ECO a diversos vehículos de flota del servicio</t>
  </si>
  <si>
    <t xml:space="preserve">3430000-0, 3414000-0, 34312000-7, 50531100-7 </t>
  </si>
  <si>
    <t xml:space="preserve">Suministro en régimen de
arrendamiento de 11 motocicletas eléctricas </t>
  </si>
  <si>
    <t>34411100-9</t>
  </si>
  <si>
    <t xml:space="preserve">Suministro de licencia y servicio de soporte de máquina de diagnosis y suministro de máquina de diagnosis y licencia y servicio de soporte para mantenimiento de vehículos de flota </t>
  </si>
  <si>
    <t>38434000-6, 48900000-7,  72261000-2, 50324100-3</t>
  </si>
  <si>
    <t>Suministro, en régimen de adquisición, de baterías de vehículos ligeros (lote 1) y de vehículos pesados (lote 2)</t>
  </si>
  <si>
    <t>31421000-2</t>
  </si>
  <si>
    <t>Servicio de grúa para vehículos pertenecientes a la flota.</t>
  </si>
  <si>
    <t>50118100-2</t>
  </si>
  <si>
    <t xml:space="preserve">Suministro de repuestos y del servicio de mantenimiento preventivo y correctivo vinculado a servicio técnico oficial  para barredoras de la marca PIQUERSA </t>
  </si>
  <si>
    <t>50112300-6, 34300000-0</t>
  </si>
  <si>
    <t xml:space="preserve">Suministro, en régimen de adquisición, de repuestos varios de vehículos y equipos de servicio de limpieza de playas </t>
  </si>
  <si>
    <t>34310000-3, 43313100-7</t>
  </si>
  <si>
    <t xml:space="preserve">Suministro (principal) de los repuestos oficiales, y del servicio (accesorio) para mantenimientos preventivos y correctivos vinculados a servicio técnico oficial, sin carácter de exclusividad y excluyendo el mantenimiento de neumáticos, de los equipos de trabajo de la marca SCANIA </t>
  </si>
  <si>
    <t xml:space="preserve"> 34300000-0
 50112300-6
</t>
  </si>
  <si>
    <t>Servicio (principal) para mantenimientos preventivos y correctivos vinculados a servicio técnico oficial y del suministro (accesorio) de los repuestos oficiales, sin carácter de exclusividad y excluyendo el mantenimiento de neumáticos, de las barredoras ELGUIN .</t>
  </si>
  <si>
    <t>50112300-6
34300000-0</t>
  </si>
  <si>
    <t>Suministro, en régimen de adquisición, de material diverso de rodamientos y casquillos para mantenimiento de equipos y flota.</t>
  </si>
  <si>
    <t>44440000-6, 34300000-0, 44441000-3</t>
  </si>
  <si>
    <t>Suministro, en régimen de adquisición, de repuestos varios de vehículos ligeros DFSK</t>
  </si>
  <si>
    <t xml:space="preserve">34300000-0 </t>
  </si>
  <si>
    <t>Suministro, en régimen de adquisición, de material de pintura y sus aparejos para usos varios.</t>
  </si>
  <si>
    <t>44810000-1
 44850000-3
 44830000-7
 44800000-8</t>
  </si>
  <si>
    <t>Suministro, en régimen de adquisición, de repuestos varios de equipos de trabajo. KIGGEN.</t>
  </si>
  <si>
    <t xml:space="preserve"> 34300000-0 </t>
  </si>
  <si>
    <t xml:space="preserve">
Suministro, en régimen de adquisición, de repuestos varios de
equipos de trabajo. CDREYES.</t>
  </si>
  <si>
    <t xml:space="preserve"> 34300000-0</t>
  </si>
  <si>
    <t>Suministro, en régimen de adquisición, de repuestos varios de
equipos de trabajo. AMS.</t>
  </si>
  <si>
    <t>Servicio (principal) para mantenimientos
preventivos y correctivos vinculados a servicio técnico oficial y del suministro (accesorio) de los repuestos oficiales, sin carácter de exclusividad y excluyendo el mantenimiento de neumáticos, de los tractores de la marca JOHN DEERE.</t>
  </si>
  <si>
    <t xml:space="preserve">34300000-0
50112300-6
</t>
  </si>
  <si>
    <t>Contratación  del servicio (principal) para mantenimientos preventivos y correctivos vinculados a servicio técnico oficial y del suministro (accesorio) de los repuestos oficiales, sin carácter de exclusividad, de las cajas de cambio de la marca ALLISON.</t>
  </si>
  <si>
    <t>34300000-0
 50112300-6</t>
  </si>
  <si>
    <t xml:space="preserve"> Suministros de elementos de hidráulica y neumática para el mantenimiento de equipos y vehículos. </t>
  </si>
  <si>
    <t>34300000-0
 44110000-4
 44120000-7</t>
  </si>
  <si>
    <t>Servicios de mantenimiento preventivo y correctivo general
(mecánica general, climatización, suspensión, lunas, limpieza
sistemas de inyección, rectificados, radiadores, transmisiones,
tapicería, cajas de cambio), sin carácter de exclusividad, para los
chasis de vehículos ligeros , y de los suministros de
repuestos accesorios.</t>
  </si>
  <si>
    <t>Suministro 4 Barredoras de aspiración calzada 4m3</t>
  </si>
  <si>
    <t>34144431-8</t>
  </si>
  <si>
    <t>Suministro 4 Barredoras de aceras 2m3</t>
  </si>
  <si>
    <t xml:space="preserve">34144431-8  </t>
  </si>
  <si>
    <t>Suministro de 1 Vehiculo lavacontenedores 6200 + 6200 Carga lateral</t>
  </si>
  <si>
    <t>Suministro de 1 Vehiculo lavacontenedores 8000 + 8000 Carga Trasera</t>
  </si>
  <si>
    <t>Suministro 3 Recolectores Compactador de Carga lateral de 25 m3 con tercer eje direccional</t>
  </si>
  <si>
    <t>Suministro de 3 vehículos de caja  abierta de 18 m3 equipado con grúa tras cabina de 14tm  articulada y suplemento de pulpo de 4 garras</t>
  </si>
  <si>
    <t>34134200,  42414110</t>
  </si>
  <si>
    <t>Servicio de mantenimiento y limpieza de los contenedores soterrados de doble gancho y de plataformas elevadoras soterradas en la ciudad de Málaga.</t>
  </si>
  <si>
    <t xml:space="preserve">34928480-6, 50000000-5,  90000000-7 </t>
  </si>
  <si>
    <t>48 MESES</t>
  </si>
  <si>
    <t>Suministro, en régimen de adquisición, de papeleras de cartón para la recogida selectiva de residuos, por precios unitarios y presupuesto máximo estimativo de tracto sucesivo en función de las necesidades</t>
  </si>
  <si>
    <t>Servicio de mantenimiento de monitorización digital del programa de avisos para la recogida puerta a puerta de los residuos en el centro de Málaga y soporte técnico en remoto</t>
  </si>
  <si>
    <t>71700000-5</t>
  </si>
  <si>
    <t>Suministro, en régimen de adquisición de 480 contenedores de fracción resto como elementos del mobiliario urbano de la ciudad de Málaga</t>
  </si>
  <si>
    <t>44613800-8; 44613700-7</t>
  </si>
  <si>
    <t xml:space="preserve">obra soterramiento e instalación estructura elevadora con suministro de autocompactador </t>
  </si>
  <si>
    <t>34927100 S; 14400000-5; 50230000</t>
  </si>
  <si>
    <t>Suministro Cerraduras inteligentes CONT CLO</t>
  </si>
  <si>
    <t>44521120; 34928480</t>
  </si>
  <si>
    <t>Alquiler de Maquinaria Jardineria: Sopladora y Desbrozadora -AM</t>
  </si>
  <si>
    <t>16600000-1; 16160000-4</t>
  </si>
  <si>
    <t>Servicio de evaluación Continúa del estado de la limpieza del municipio de Málaga</t>
  </si>
  <si>
    <t>Suministro productos químicos para servicio de limpieza viaria prestado por LIMASAM</t>
  </si>
  <si>
    <t>24960000-1; 39811300-3; 39831220-4;</t>
  </si>
  <si>
    <t>Suministro de consumibles y repuestos, y servicio de mantenimiento de sopladoras y desbrozadoras para las tareas de apoyo a limpieza viaria prestada por la Sociedad Limpieza de Málaga</t>
  </si>
  <si>
    <t>16600000-1; 50530000-9</t>
  </si>
  <si>
    <t>Suministro de producto antiadherente para pavimentos</t>
  </si>
  <si>
    <t>24000000-4</t>
  </si>
  <si>
    <t>Suministro de bolsas para Semana Santa</t>
  </si>
  <si>
    <t>19640000-4</t>
  </si>
  <si>
    <t>Servicio de apoyo a las tareas de limpieza mediante vehículos especiales y equipos auxiliares en situaciones extraordinarias o de máxima necesidad</t>
  </si>
  <si>
    <t>60181000-0 90500000-2 90680000-7</t>
  </si>
  <si>
    <t>Servicio de consultoria para el mantenimiento del sistema de gestión y modelos de gestión implantados en LIMASAM.</t>
  </si>
  <si>
    <t>79419000
79212200</t>
  </si>
  <si>
    <t>Servicios de consultoría para el calculo de la huella de carbono corporativa de LIMASAM, análisis de resultados y elaboración del plan de reducción y seguimiento del mismo</t>
  </si>
  <si>
    <t>Suministro en régimen de arrendamiento, instalación y mantenimiento de dispensadores y fuentes de agua para Limpieza de Málaga, S.A.M</t>
  </si>
  <si>
    <t>42912310-8, 50530000</t>
  </si>
  <si>
    <t>Servicio de limpieza de edificios e instalaciones para Limpieza de Málaga, S.A.M</t>
  </si>
  <si>
    <t>90919000-2 </t>
  </si>
  <si>
    <t>Servicio de prevención y control de la legionelosis en los sistemas de AFC, ACS, refrigeración y otros puntos susceptibles, en los centros de trabajo e instalaciones de LIMASAM</t>
  </si>
  <si>
    <t>85111820-4</t>
  </si>
  <si>
    <t>Suministro de mobiliario de oficina para las instalaciones de Limpieza de Málaga, S.A.M</t>
  </si>
  <si>
    <t>Suministro, instalación y mantenimiento de equipos electricos y bobinados varios dispuestos en diversas ubicaciones propiedad de Limpieza de Málaga, S.A.M</t>
  </si>
  <si>
    <t xml:space="preserve">Servicio de aplicación de cloruro cálcico como tratamiento antipolvo en las zonas terrizas de estacionamiento público de vehículos habilitadas por el Excmo. Ayuntamiento de Málaga para el acceso al recinto Cortijo de Torres durante la celebración de La Feria de Málaga </t>
  </si>
  <si>
    <t>Suministro de material diverso de construción para acometer trabajos de mantenimiento de instalaciones</t>
  </si>
  <si>
    <t>Contrato mixto de obras y suministro para la ejecución de la infraestructura eléctrica y puntos de carga de camiones eléctricos en las instalaciones de LIMASAM (Camino Medio Ambiental nº 23, Málaga)</t>
  </si>
  <si>
    <t>31158000-6</t>
  </si>
  <si>
    <t>Suministro de Plataforma Elevadora articulada de 15 metros</t>
  </si>
  <si>
    <t>42418000-9</t>
  </si>
  <si>
    <t>Suministro en régimen de adquisición de material de fontanería</t>
  </si>
  <si>
    <t>44115210-4</t>
  </si>
  <si>
    <t>Suministro e instalación CCTV refuerzo instalaciones Ruices y otros centros</t>
  </si>
  <si>
    <t>Suministro de vestuario laboral para los trabajadores de LIMASAM</t>
  </si>
  <si>
    <t>Tratamiento de lodos de lavaderos</t>
  </si>
  <si>
    <t>Servicio integral de comunicaciones unificadas (servicios de telefonía de sobremesa, móvil y fax; el servicio de acceso a datos fijos y móviles; así como el acceso a Internet), para las sedes de LIMASAM y todos los componentes activos que le dan soporte.</t>
  </si>
  <si>
    <t>64200000-8; 64210000-1</t>
  </si>
  <si>
    <t>Especialidad Preventiva de Vigilancia de la Salud</t>
  </si>
  <si>
    <t>Auditorías Internas</t>
  </si>
  <si>
    <t xml:space="preserve">79212200-5  </t>
  </si>
  <si>
    <t>Especialidad Preventiva de Higiene Industrial</t>
  </si>
  <si>
    <t>71317000-3 
71317210-8</t>
  </si>
  <si>
    <t>Asistencia técnicapara proceso selección y desarrollo</t>
  </si>
  <si>
    <t>79414000-9 
79000000-4</t>
  </si>
  <si>
    <t>Consultoria y asistencia externa del sistema de gestión del plan de
igualdad/LGBI</t>
  </si>
  <si>
    <t>79132000-8 79000000-4 79212000-3</t>
  </si>
  <si>
    <t>Suministros lotes cesta de Navidad de 2026</t>
  </si>
  <si>
    <t>15800000 55320000-9 55400000-4</t>
  </si>
  <si>
    <t>MIXTO: SERVICIOS/SUMINISTRO</t>
  </si>
  <si>
    <t>Revisión y mantenimiento de sistema de control integral exclusivo de movimientos Eriddes del Centro Ambiental de Málaga</t>
  </si>
  <si>
    <t>72000000
50324100
50312000</t>
  </si>
  <si>
    <t>contratación de suministro de licencias, mantenimiento y soporte del software RedTrust mediante procedimiento negociado sin publicidad por razones de exclusividad técnica y tramitación ordinaria.</t>
  </si>
  <si>
    <t>SUMINISTRO EN REGIMEN DE ARRENDAMIENTO DE EQUIPOS DE PRODUCCIÓN DOCUMENTAL, MANTENIMIENTO Y SISTEMA DE CONTROL Y GESTIÓN DE LOS DISPOSITIVOS</t>
  </si>
  <si>
    <t>50313200
30120000
50313100
50313000
71356200</t>
  </si>
  <si>
    <t>Suministro, en régimen de adquisición, de útiles de barrido manual (escobas, palos de escobas, recogedores, palos de recogedores) por precios unitarios y presupuesto máximo estimativo de tracto sucesivo en función de las necesidades</t>
  </si>
  <si>
    <t>39224000-8; 39224350-6</t>
  </si>
  <si>
    <t>Suministro, en régimen de adquisición, de material absorbente, por precios unitarios y presupuesto máximo estimativo de tracto sucesivo</t>
  </si>
  <si>
    <t xml:space="preserve">39812400-1    </t>
  </si>
  <si>
    <t>Suministro de combustible granel</t>
  </si>
  <si>
    <t xml:space="preserve">09000000-3 
09100000-0                                                             </t>
  </si>
  <si>
    <t>Servicio de recogida, transporte, tratamiento y eliminación de cadáveres de animales, subproductos de origen animal y excrementos de equinos en el municipio de Málaga</t>
  </si>
  <si>
    <t>90500000-2</t>
  </si>
  <si>
    <t>Servicio de recogida y gestión integral de residuos peligrosos generados por los servicios de limpieza de Málaga S.A.M.</t>
  </si>
  <si>
    <t xml:space="preserve">90500000-2 </t>
  </si>
  <si>
    <t>REPARTO DE CONTRATOS POR ENTES DEPENDIENTES(2026)</t>
  </si>
  <si>
    <t>ORGANISMOS/EMPRESAS/FUNDACIONES</t>
  </si>
  <si>
    <t>Organismo autónomo Gestión Tributaria (GESTRISAM)</t>
  </si>
  <si>
    <t>Organismo autónomo Gerencia Municipal de Urbanismo (GMU)</t>
  </si>
  <si>
    <t>Organismo autónomo Instituto Municipal de la Vivienda (IMV)</t>
  </si>
  <si>
    <t>Agencia pública para la gestión de la Casa natal de Pablo Ruiz Picasso y otros equipamientos museísticos y culturales</t>
  </si>
  <si>
    <t>Instituto Municipal para la Formación y el Empleo (IMFE)</t>
  </si>
  <si>
    <t>Empresa Municipal Gestión de Medios de Comunicación de Málaga, S.A.</t>
  </si>
  <si>
    <t>Viviendas Málaga, S.L.</t>
  </si>
  <si>
    <t>Teatro Cervantes de Málaga, S.A.</t>
  </si>
  <si>
    <t>Empresa Municipal de Aguas de Málaga, S.A. (EMASA)</t>
  </si>
  <si>
    <t>Empresa Malagueña de Transportes, S.A.M. (EMTSAM)</t>
  </si>
  <si>
    <t>Parque Cementerio de Málaga, S.A.</t>
  </si>
  <si>
    <t>Empresa Municipal Iniciativas y Actividades Málaga, S.A. (PROMALAGA)</t>
  </si>
  <si>
    <t>Empresa Limpiezas Municipales y Parque del Oeste, S.A.M. (LIMPOSAM)</t>
  </si>
  <si>
    <t>Más Cerca, S.A.M.</t>
  </si>
  <si>
    <t>Málaga Deportes y Eventos, S.A.</t>
  </si>
  <si>
    <t>Municipal Aparcamientos y Servicios, S.A. (SMASSA)</t>
  </si>
  <si>
    <t>Fundación Félix Revello de Toro</t>
  </si>
  <si>
    <t>Fundación Pública Palacio Villalón</t>
  </si>
  <si>
    <t>Fundación Municipal Rafael Pérez Estrada</t>
  </si>
  <si>
    <t>Orquesta Ciudad de Málaga</t>
  </si>
  <si>
    <t>Limpiezas de Málaga, S.A.M. (LIMASAM)</t>
  </si>
  <si>
    <t>REPARTO DE CONTRATOS POR ENTES DEPENDIENTES (2026)</t>
  </si>
  <si>
    <t>ENTES DEPENDIENTES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</si>
</sst>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0\ &quot;€&quot;;[Red]\-#,##0\ &quot;€&quot;"/>
    <numFmt numFmtId="7" formatCode="#,##0.00\ &quot;€&quot;;\-#,##0.00\ &quot;€&quot;"/>
    <numFmt numFmtId="8" formatCode="#,##0.00\ &quot;€&quot;;[Red]\-#,##0.00\ &quot;€&quot;"/>
    <numFmt numFmtId="44" formatCode="_-* #,##0.00\ &quot;€&quot;_-;\-* #,##0.00\ &quot;€&quot;_-;_-* &quot;-&quot;??\ &quot;€&quot;_-;_-@_-"/>
    <numFmt numFmtId="43" formatCode="_-* #,##0.00\ _€_-;\-* #,##0.00\ _€_-;_-* &quot;-&quot;??\ _€_-;_-@_-"/>
    <numFmt numFmtId="164" formatCode="d/m/yyyy"/>
    <numFmt numFmtId="165" formatCode="#,##0.00\ &quot;€&quot;"/>
    <numFmt numFmtId="166" formatCode="_-* #,##0.00\ [$€-C0A]_-;\-* #,##0.00\ [$€-C0A]_-;_-* &quot;-&quot;??\ [$€-C0A]_-;_-@_-"/>
    <numFmt numFmtId="167" formatCode="_-[$€-2]\ * #,##0.00_-;\-[$€-2]\ * #,##0.00_-;_-[$€-2]\ * &quot;-&quot;??_-;_-@_-"/>
    <numFmt numFmtId="168" formatCode="#,##0\ &quot;€&quot;"/>
    <numFmt numFmtId="169" formatCode="_-* #,##0_-;\-* #,##0_-;_-* &quot;-&quot;??_-;_-@_-"/>
  </numFmts>
  <fonts count="26" x14ac:knownFonts="1">
    <font>
      <sz val="11"/>
      <color theme="1"/>
      <name val="Matter Light"/>
      <family val="2"/>
    </font>
    <font>
      <sz val="11"/>
      <color theme="1"/>
      <name val="Matter Light"/>
      <family val="2"/>
    </font>
    <font>
      <b/>
      <sz val="10"/>
      <color theme="1"/>
      <name val="Matter Light"/>
    </font>
    <font>
      <sz val="10"/>
      <color theme="1"/>
      <name val="Matter Light"/>
    </font>
    <font>
      <sz val="10"/>
      <name val="Matter Light"/>
    </font>
    <font>
      <sz val="10"/>
      <color rgb="FF1E252E"/>
      <name val="Matter Light"/>
    </font>
    <font>
      <sz val="10"/>
      <color rgb="FF000000"/>
      <name val="Matter Light"/>
    </font>
    <font>
      <sz val="10"/>
      <color rgb="FF013158"/>
      <name val="Matter Light"/>
    </font>
    <font>
      <sz val="10"/>
      <color theme="1"/>
      <name val="Times New Roman"/>
      <family val="1"/>
    </font>
    <font>
      <sz val="10"/>
      <color rgb="FF0A0A0A"/>
      <name val="Arial"/>
      <family val="2"/>
    </font>
    <font>
      <b/>
      <sz val="9"/>
      <color indexed="81"/>
      <name val="Tahoma"/>
      <family val="2"/>
    </font>
    <font>
      <sz val="9"/>
      <color indexed="81"/>
      <name val="Tahoma"/>
      <family val="2"/>
    </font>
    <font>
      <b/>
      <sz val="11"/>
      <color theme="1"/>
      <name val="Matter Light"/>
    </font>
    <font>
      <sz val="10"/>
      <color theme="1"/>
      <name val="Matter Light"/>
      <family val="2"/>
    </font>
    <font>
      <sz val="9"/>
      <color theme="1"/>
      <name val="Matter Light"/>
    </font>
    <font>
      <b/>
      <sz val="9"/>
      <color rgb="FF000000"/>
      <name val="Matter Light"/>
    </font>
    <font>
      <sz val="9"/>
      <color rgb="FF000000"/>
      <name val="Matter Light"/>
    </font>
    <font>
      <b/>
      <sz val="9"/>
      <color theme="1"/>
      <name val="Matter Light"/>
    </font>
    <font>
      <sz val="11"/>
      <color theme="1"/>
      <name val="Calibri"/>
      <family val="2"/>
      <scheme val="minor"/>
    </font>
    <font>
      <sz val="10"/>
      <color rgb="FF242424"/>
      <name val="Matter Light"/>
    </font>
    <font>
      <sz val="11"/>
      <color indexed="8"/>
      <name val="Calibri"/>
      <family val="2"/>
      <scheme val="minor"/>
    </font>
    <font>
      <sz val="10"/>
      <name val="Arial"/>
      <family val="2"/>
    </font>
    <font>
      <sz val="10"/>
      <color indexed="8"/>
      <name val="Matter Light"/>
    </font>
    <font>
      <sz val="10"/>
      <color rgb="FF202020"/>
      <name val="Matter Light"/>
    </font>
    <font>
      <sz val="10"/>
      <color theme="1"/>
      <name val="Calibri"/>
      <family val="2"/>
      <scheme val="minor"/>
    </font>
    <font>
      <sz val="10"/>
      <color theme="1"/>
      <name val="Arial"/>
      <family val="2"/>
    </font>
  </fonts>
  <fills count="15">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rgb="FFFBD4B4"/>
        <bgColor rgb="FFFBD4B4"/>
      </patternFill>
    </fill>
    <fill>
      <patternFill patternType="solid">
        <fgColor rgb="FFB8CCE4"/>
        <bgColor rgb="FFB8CCE4"/>
      </patternFill>
    </fill>
    <fill>
      <patternFill patternType="solid">
        <fgColor theme="0"/>
        <bgColor indexed="64"/>
      </patternFill>
    </fill>
    <fill>
      <patternFill patternType="solid">
        <fgColor theme="0"/>
        <bgColor theme="0"/>
      </patternFill>
    </fill>
    <fill>
      <patternFill patternType="solid">
        <fgColor theme="5" tint="0.59999389629810485"/>
        <bgColor indexed="64"/>
      </patternFill>
    </fill>
    <fill>
      <patternFill patternType="solid">
        <fgColor rgb="FF8DB4E2"/>
        <bgColor rgb="FF000000"/>
      </patternFill>
    </fill>
    <fill>
      <patternFill patternType="solid">
        <fgColor theme="9" tint="0.59999389629810485"/>
        <bgColor rgb="FF000000"/>
      </patternFill>
    </fill>
    <fill>
      <patternFill patternType="solid">
        <fgColor theme="9" tint="0.59999389629810485"/>
        <bgColor indexed="64"/>
      </patternFill>
    </fill>
    <fill>
      <patternFill patternType="solid">
        <fgColor theme="6" tint="0.59996337778862885"/>
        <bgColor indexed="64"/>
      </patternFill>
    </fill>
    <fill>
      <patternFill patternType="solid">
        <fgColor rgb="FFFFFFFF"/>
        <bgColor indexed="64"/>
      </patternFill>
    </fill>
    <fill>
      <patternFill patternType="solid">
        <fgColor theme="6" tint="0.59999389629810485"/>
        <bgColor indexed="64"/>
      </patternFill>
    </fill>
  </fills>
  <borders count="32">
    <border>
      <left/>
      <right/>
      <top/>
      <bottom/>
      <diagonal/>
    </border>
    <border>
      <left/>
      <right style="thin">
        <color indexed="64"/>
      </right>
      <top/>
      <bottom/>
      <diagonal/>
    </border>
    <border>
      <left style="thin">
        <color indexed="64"/>
      </left>
      <right style="thin">
        <color indexed="64"/>
      </right>
      <top style="thin">
        <color indexed="64"/>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bottom style="thin">
        <color indexed="64"/>
      </bottom>
      <diagonal/>
    </border>
    <border>
      <left/>
      <right style="thin">
        <color rgb="FF000000"/>
      </right>
      <top/>
      <bottom style="thin">
        <color rgb="FF000000"/>
      </bottom>
      <diagonal/>
    </border>
    <border>
      <left style="thin">
        <color rgb="FF000000"/>
      </left>
      <right style="thin">
        <color rgb="FF000000"/>
      </right>
      <top/>
      <bottom style="thin">
        <color indexed="64"/>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rgb="FF000000"/>
      </right>
      <top/>
      <bottom/>
      <diagonal/>
    </border>
    <border>
      <left/>
      <right style="thin">
        <color rgb="FF000000"/>
      </right>
      <top style="thin">
        <color indexed="64"/>
      </top>
      <bottom style="thin">
        <color indexed="64"/>
      </bottom>
      <diagonal/>
    </border>
    <border>
      <left style="thin">
        <color rgb="FF000000"/>
      </left>
      <right/>
      <top/>
      <bottom style="thin">
        <color rgb="FF000000"/>
      </bottom>
      <diagonal/>
    </border>
    <border>
      <left/>
      <right style="thin">
        <color rgb="FF000000"/>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2" borderId="0" applyNumberFormat="0" applyBorder="0" applyAlignment="0" applyProtection="0"/>
    <xf numFmtId="0" fontId="1" fillId="3" borderId="0" applyNumberFormat="0" applyBorder="0" applyAlignment="0" applyProtection="0"/>
    <xf numFmtId="0" fontId="18" fillId="0" borderId="0"/>
    <xf numFmtId="44" fontId="20" fillId="0" borderId="0" applyFont="0" applyFill="0" applyBorder="0" applyAlignment="0" applyProtection="0"/>
    <xf numFmtId="0" fontId="21" fillId="0" borderId="0"/>
    <xf numFmtId="44" fontId="18" fillId="0" borderId="0" applyFont="0" applyFill="0" applyBorder="0" applyAlignment="0" applyProtection="0"/>
    <xf numFmtId="43" fontId="18" fillId="0" borderId="0" applyFont="0" applyFill="0" applyBorder="0" applyAlignment="0" applyProtection="0"/>
  </cellStyleXfs>
  <cellXfs count="411">
    <xf numFmtId="0" fontId="0" fillId="0" borderId="0" xfId="0"/>
    <xf numFmtId="0" fontId="2" fillId="4" borderId="0" xfId="0" applyFont="1" applyFill="1" applyBorder="1" applyAlignment="1">
      <alignment horizontal="center"/>
    </xf>
    <xf numFmtId="0" fontId="2" fillId="4" borderId="1" xfId="0" applyFont="1" applyFill="1" applyBorder="1" applyAlignment="1">
      <alignment horizontal="center"/>
    </xf>
    <xf numFmtId="0" fontId="3" fillId="0" borderId="0" xfId="0" applyFont="1"/>
    <xf numFmtId="0" fontId="3"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4" fontId="2" fillId="0" borderId="0" xfId="0" applyNumberFormat="1" applyFont="1" applyAlignment="1">
      <alignment horizontal="center" vertical="center" wrapText="1"/>
    </xf>
    <xf numFmtId="0" fontId="2" fillId="0" borderId="0" xfId="0" applyFont="1" applyAlignment="1">
      <alignment horizontal="center"/>
    </xf>
    <xf numFmtId="0" fontId="3" fillId="5" borderId="2"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4" xfId="0" applyFont="1" applyFill="1" applyBorder="1" applyAlignment="1">
      <alignment horizontal="center" vertical="center" wrapText="1"/>
    </xf>
    <xf numFmtId="4" fontId="3" fillId="5" borderId="4" xfId="0" applyNumberFormat="1"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4" fillId="0" borderId="7" xfId="0" applyFont="1" applyBorder="1" applyAlignment="1">
      <alignment horizontal="center" vertical="center"/>
    </xf>
    <xf numFmtId="0" fontId="3" fillId="5" borderId="8" xfId="0" applyFont="1" applyFill="1" applyBorder="1" applyAlignment="1">
      <alignment horizontal="center" vertical="center" wrapText="1"/>
    </xf>
    <xf numFmtId="4" fontId="4" fillId="0" borderId="9" xfId="0" applyNumberFormat="1" applyFont="1" applyBorder="1" applyAlignment="1">
      <alignment horizontal="center" vertical="center" wrapText="1"/>
    </xf>
    <xf numFmtId="0" fontId="4" fillId="0" borderId="9" xfId="0" applyFont="1" applyBorder="1" applyAlignment="1">
      <alignment vertical="center"/>
    </xf>
    <xf numFmtId="0" fontId="4" fillId="0" borderId="10"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xf>
    <xf numFmtId="0" fontId="4" fillId="0" borderId="6"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applyAlignment="1">
      <alignment horizontal="center" vertical="center"/>
    </xf>
    <xf numFmtId="4" fontId="3" fillId="6" borderId="12" xfId="0" applyNumberFormat="1" applyFont="1" applyFill="1" applyBorder="1" applyAlignment="1">
      <alignment horizontal="center" vertical="center" wrapText="1"/>
    </xf>
    <xf numFmtId="14" fontId="3" fillId="0" borderId="12" xfId="0" applyNumberFormat="1" applyFont="1" applyBorder="1" applyAlignment="1">
      <alignment horizontal="center" vertical="center" wrapText="1"/>
    </xf>
    <xf numFmtId="14" fontId="3" fillId="0" borderId="12" xfId="0" applyNumberFormat="1" applyFont="1" applyBorder="1" applyAlignment="1">
      <alignment horizontal="center" vertical="center"/>
    </xf>
    <xf numFmtId="0" fontId="3" fillId="0" borderId="13" xfId="0" applyFont="1" applyBorder="1" applyAlignment="1">
      <alignment horizontal="center" vertical="center" wrapText="1"/>
    </xf>
    <xf numFmtId="4" fontId="3" fillId="0" borderId="12" xfId="0" applyNumberFormat="1" applyFont="1" applyBorder="1" applyAlignment="1">
      <alignment horizontal="center" vertical="center" wrapText="1"/>
    </xf>
    <xf numFmtId="0" fontId="3" fillId="0" borderId="12" xfId="0" applyFont="1" applyFill="1" applyBorder="1" applyAlignment="1">
      <alignment horizontal="center" vertical="center" wrapText="1"/>
    </xf>
    <xf numFmtId="4" fontId="3" fillId="0" borderId="0" xfId="0" applyNumberFormat="1" applyFont="1" applyAlignment="1">
      <alignment horizontal="center" vertical="center" wrapText="1"/>
    </xf>
    <xf numFmtId="0" fontId="3" fillId="0" borderId="0" xfId="0" applyFont="1" applyAlignment="1">
      <alignment horizontal="center"/>
    </xf>
    <xf numFmtId="0" fontId="3" fillId="0" borderId="0" xfId="0" applyFont="1" applyAlignment="1">
      <alignment horizontal="center" vertical="center" wrapText="1"/>
    </xf>
    <xf numFmtId="0" fontId="3" fillId="0" borderId="0" xfId="0" applyFont="1" applyAlignment="1">
      <alignment vertical="center"/>
    </xf>
    <xf numFmtId="0" fontId="3" fillId="0" borderId="0" xfId="0" applyFont="1" applyBorder="1" applyAlignment="1">
      <alignment horizontal="center" vertical="center"/>
    </xf>
    <xf numFmtId="0" fontId="2" fillId="0" borderId="0" xfId="0" applyFont="1" applyFill="1" applyBorder="1" applyAlignment="1">
      <alignment horizontal="center" vertical="center"/>
    </xf>
    <xf numFmtId="0" fontId="4" fillId="0" borderId="0" xfId="0" applyFont="1" applyBorder="1" applyAlignment="1">
      <alignment horizontal="center" vertical="center"/>
    </xf>
    <xf numFmtId="0" fontId="4" fillId="0" borderId="0" xfId="0" applyFont="1" applyBorder="1" applyAlignment="1">
      <alignment horizontal="center" vertical="center" wrapText="1"/>
    </xf>
    <xf numFmtId="4" fontId="4" fillId="0" borderId="0" xfId="0" applyNumberFormat="1" applyFont="1" applyBorder="1" applyAlignment="1">
      <alignment horizontal="center" vertical="center" wrapText="1"/>
    </xf>
    <xf numFmtId="0" fontId="4" fillId="0" borderId="0" xfId="0" applyFont="1" applyBorder="1" applyAlignment="1">
      <alignment vertical="center"/>
    </xf>
    <xf numFmtId="0" fontId="4" fillId="0" borderId="0" xfId="0" applyFont="1" applyBorder="1" applyAlignment="1">
      <alignment horizontal="center"/>
    </xf>
    <xf numFmtId="0" fontId="3" fillId="5" borderId="12" xfId="0" applyFont="1" applyFill="1" applyBorder="1" applyAlignment="1">
      <alignment horizontal="center" vertical="center" wrapText="1"/>
    </xf>
    <xf numFmtId="4" fontId="3" fillId="5" borderId="12" xfId="0" applyNumberFormat="1" applyFont="1" applyFill="1" applyBorder="1" applyAlignment="1">
      <alignment horizontal="center" vertical="center" wrapText="1"/>
    </xf>
    <xf numFmtId="0" fontId="4" fillId="0" borderId="12" xfId="0" applyFont="1" applyBorder="1" applyAlignment="1">
      <alignment horizontal="center" vertical="center"/>
    </xf>
    <xf numFmtId="4" fontId="4" fillId="0" borderId="12" xfId="0" applyNumberFormat="1" applyFont="1" applyBorder="1" applyAlignment="1">
      <alignment horizontal="center" vertical="center" wrapText="1"/>
    </xf>
    <xf numFmtId="0" fontId="4" fillId="0" borderId="12" xfId="0" applyFont="1" applyBorder="1" applyAlignment="1">
      <alignment vertical="center"/>
    </xf>
    <xf numFmtId="0" fontId="4" fillId="0" borderId="12" xfId="0" applyFont="1" applyBorder="1" applyAlignment="1">
      <alignment horizontal="center"/>
    </xf>
    <xf numFmtId="0" fontId="4" fillId="0" borderId="12" xfId="0"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6" xfId="0" applyFont="1" applyBorder="1" applyAlignment="1">
      <alignment horizontal="center" vertical="center"/>
    </xf>
    <xf numFmtId="14" fontId="3" fillId="0" borderId="6" xfId="0" applyNumberFormat="1" applyFont="1" applyBorder="1" applyAlignment="1">
      <alignment horizontal="center" vertical="center" wrapText="1"/>
    </xf>
    <xf numFmtId="14" fontId="3" fillId="0" borderId="6" xfId="0" applyNumberFormat="1" applyFont="1" applyBorder="1" applyAlignment="1">
      <alignment horizontal="center" vertical="center"/>
    </xf>
    <xf numFmtId="4" fontId="3" fillId="0" borderId="0" xfId="0" applyNumberFormat="1" applyFont="1" applyBorder="1" applyAlignment="1">
      <alignment horizontal="center" vertical="center" wrapText="1"/>
    </xf>
    <xf numFmtId="4" fontId="4" fillId="0" borderId="12" xfId="0" applyNumberFormat="1" applyFont="1" applyBorder="1" applyAlignment="1">
      <alignment horizontal="center" vertical="center" wrapText="1"/>
    </xf>
    <xf numFmtId="0" fontId="4" fillId="0" borderId="12" xfId="0" applyFont="1" applyBorder="1" applyAlignment="1">
      <alignment horizontal="center" vertical="center"/>
    </xf>
    <xf numFmtId="0" fontId="4" fillId="0" borderId="12" xfId="0" applyFont="1" applyBorder="1" applyAlignment="1">
      <alignment horizontal="center" vertical="center" wrapText="1"/>
    </xf>
    <xf numFmtId="0" fontId="5" fillId="0" borderId="12" xfId="0" applyFont="1" applyBorder="1" applyAlignment="1">
      <alignment horizontal="center" vertical="center" wrapText="1"/>
    </xf>
    <xf numFmtId="0" fontId="3" fillId="0" borderId="12" xfId="0" applyFont="1" applyFill="1" applyBorder="1" applyAlignment="1">
      <alignment horizontal="center" vertical="center"/>
    </xf>
    <xf numFmtId="4" fontId="3" fillId="0" borderId="2" xfId="0" applyNumberFormat="1" applyFont="1" applyBorder="1" applyAlignment="1">
      <alignment horizontal="center" vertical="center" wrapText="1"/>
    </xf>
    <xf numFmtId="0" fontId="3" fillId="0" borderId="0" xfId="0" applyFont="1" applyBorder="1" applyAlignment="1">
      <alignment horizontal="center" vertical="center" wrapText="1"/>
    </xf>
    <xf numFmtId="4" fontId="3" fillId="0" borderId="14" xfId="0" applyNumberFormat="1" applyFont="1" applyBorder="1" applyAlignment="1">
      <alignment horizontal="center" vertical="center" wrapText="1"/>
    </xf>
    <xf numFmtId="0" fontId="3" fillId="0" borderId="0" xfId="0" applyFont="1" applyBorder="1" applyAlignment="1">
      <alignment vertical="center"/>
    </xf>
    <xf numFmtId="0" fontId="3" fillId="0" borderId="0" xfId="0" applyFont="1" applyBorder="1" applyAlignment="1">
      <alignment horizontal="center"/>
    </xf>
    <xf numFmtId="0" fontId="3" fillId="0" borderId="15" xfId="0" applyFont="1" applyBorder="1" applyAlignment="1">
      <alignment horizontal="center" vertical="center" wrapText="1"/>
    </xf>
    <xf numFmtId="4" fontId="3" fillId="0" borderId="12" xfId="2" applyNumberFormat="1" applyFont="1" applyBorder="1" applyAlignment="1">
      <alignment horizontal="center" vertical="center" wrapText="1"/>
    </xf>
    <xf numFmtId="4" fontId="3" fillId="0" borderId="12" xfId="0" applyNumberFormat="1" applyFont="1" applyFill="1" applyBorder="1" applyAlignment="1">
      <alignment horizontal="center" vertical="center" wrapText="1"/>
    </xf>
    <xf numFmtId="0" fontId="3" fillId="0" borderId="12" xfId="0" applyFont="1" applyFill="1" applyBorder="1" applyAlignment="1">
      <alignment horizontal="center" vertical="center"/>
    </xf>
    <xf numFmtId="4" fontId="4" fillId="0" borderId="12" xfId="0" applyNumberFormat="1"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2" xfId="0" applyFont="1" applyFill="1" applyBorder="1" applyAlignment="1">
      <alignment horizontal="center" vertical="center"/>
    </xf>
    <xf numFmtId="18" fontId="3" fillId="0" borderId="12" xfId="0" applyNumberFormat="1" applyFont="1" applyFill="1" applyBorder="1" applyAlignment="1">
      <alignment horizontal="center" vertical="center"/>
    </xf>
    <xf numFmtId="0" fontId="3" fillId="0" borderId="2" xfId="0" applyFont="1" applyBorder="1" applyAlignment="1">
      <alignment horizontal="center" vertical="center" wrapText="1"/>
    </xf>
    <xf numFmtId="0" fontId="3" fillId="0" borderId="2" xfId="0" applyFont="1" applyFill="1" applyBorder="1" applyAlignment="1">
      <alignment horizontal="center" vertical="center"/>
    </xf>
    <xf numFmtId="49" fontId="3" fillId="0" borderId="12" xfId="0" applyNumberFormat="1" applyFont="1" applyBorder="1" applyAlignment="1">
      <alignment horizontal="center" vertical="center"/>
    </xf>
    <xf numFmtId="0" fontId="3" fillId="0" borderId="6" xfId="0" applyFont="1" applyBorder="1" applyAlignment="1">
      <alignment horizontal="center" vertical="center" wrapText="1"/>
    </xf>
    <xf numFmtId="0" fontId="3" fillId="0" borderId="6" xfId="0" applyFont="1" applyFill="1" applyBorder="1" applyAlignment="1">
      <alignment horizontal="center" vertical="center"/>
    </xf>
    <xf numFmtId="4" fontId="3" fillId="0" borderId="12" xfId="0" applyNumberFormat="1"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0" xfId="0" applyFont="1" applyFill="1" applyBorder="1" applyAlignment="1">
      <alignment vertical="center" wrapText="1"/>
    </xf>
    <xf numFmtId="1" fontId="3" fillId="0" borderId="12" xfId="0" applyNumberFormat="1" applyFont="1" applyBorder="1" applyAlignment="1">
      <alignment horizontal="center" vertical="center"/>
    </xf>
    <xf numFmtId="0" fontId="4" fillId="0" borderId="12" xfId="0" applyFont="1" applyFill="1" applyBorder="1" applyAlignment="1">
      <alignment horizontal="center" vertical="center"/>
    </xf>
    <xf numFmtId="1" fontId="4" fillId="0" borderId="12" xfId="0" applyNumberFormat="1" applyFont="1" applyFill="1" applyBorder="1" applyAlignment="1">
      <alignment horizontal="center" vertical="center"/>
    </xf>
    <xf numFmtId="0" fontId="4" fillId="0" borderId="12" xfId="0" applyFont="1" applyFill="1" applyBorder="1" applyAlignment="1">
      <alignment horizontal="center" vertical="center" wrapText="1"/>
    </xf>
    <xf numFmtId="14" fontId="4" fillId="0" borderId="12" xfId="0" applyNumberFormat="1" applyFont="1" applyBorder="1" applyAlignment="1">
      <alignment horizontal="center" vertical="center"/>
    </xf>
    <xf numFmtId="14" fontId="4" fillId="0" borderId="12" xfId="0" applyNumberFormat="1" applyFont="1" applyBorder="1" applyAlignment="1">
      <alignment horizontal="center" vertical="center" wrapText="1"/>
    </xf>
    <xf numFmtId="14" fontId="4" fillId="0" borderId="12" xfId="0" applyNumberFormat="1" applyFont="1" applyFill="1" applyBorder="1" applyAlignment="1">
      <alignment horizontal="center" vertical="center" wrapText="1"/>
    </xf>
    <xf numFmtId="0" fontId="4" fillId="0" borderId="2" xfId="0" applyFont="1" applyBorder="1" applyAlignment="1">
      <alignment horizontal="center" vertical="center" wrapText="1"/>
    </xf>
    <xf numFmtId="4" fontId="4" fillId="0" borderId="2" xfId="0" applyNumberFormat="1" applyFont="1" applyBorder="1" applyAlignment="1">
      <alignment horizontal="center" vertical="center" wrapText="1"/>
    </xf>
    <xf numFmtId="14" fontId="4" fillId="0" borderId="2" xfId="0" applyNumberFormat="1" applyFont="1" applyFill="1" applyBorder="1" applyAlignment="1">
      <alignment horizontal="center" vertical="center" wrapText="1"/>
    </xf>
    <xf numFmtId="1" fontId="4" fillId="0" borderId="2" xfId="0" applyNumberFormat="1" applyFont="1" applyFill="1" applyBorder="1" applyAlignment="1">
      <alignment horizontal="center" vertical="center"/>
    </xf>
    <xf numFmtId="0" fontId="4" fillId="0" borderId="2" xfId="0" applyFont="1" applyFill="1" applyBorder="1" applyAlignment="1">
      <alignment horizontal="center" vertical="center"/>
    </xf>
    <xf numFmtId="0" fontId="3" fillId="0" borderId="6" xfId="0" applyFont="1" applyFill="1" applyBorder="1" applyAlignment="1">
      <alignment horizontal="center" vertical="center"/>
    </xf>
    <xf numFmtId="0" fontId="4" fillId="0" borderId="6" xfId="0" applyFont="1" applyFill="1" applyBorder="1" applyAlignment="1">
      <alignment horizontal="center" vertical="center"/>
    </xf>
    <xf numFmtId="0" fontId="6" fillId="0" borderId="12" xfId="0" applyFont="1" applyFill="1" applyBorder="1" applyAlignment="1">
      <alignment horizontal="center" vertical="center" wrapText="1"/>
    </xf>
    <xf numFmtId="0" fontId="5" fillId="0" borderId="0" xfId="0" applyFont="1" applyBorder="1" applyAlignment="1">
      <alignment horizontal="center" vertical="center" wrapText="1"/>
    </xf>
    <xf numFmtId="0" fontId="4"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4" fontId="4" fillId="0" borderId="0"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1" fontId="3" fillId="0" borderId="12" xfId="0" applyNumberFormat="1" applyFont="1" applyBorder="1" applyAlignment="1">
      <alignment horizontal="center" vertical="center" wrapText="1"/>
    </xf>
    <xf numFmtId="4" fontId="3" fillId="0" borderId="0" xfId="0" applyNumberFormat="1" applyFont="1" applyFill="1" applyBorder="1" applyAlignment="1">
      <alignment horizontal="center" vertical="center" wrapText="1"/>
    </xf>
    <xf numFmtId="14" fontId="3" fillId="0" borderId="0" xfId="0" applyNumberFormat="1" applyFont="1" applyBorder="1" applyAlignment="1">
      <alignment horizontal="center" vertical="center"/>
    </xf>
    <xf numFmtId="1" fontId="3" fillId="0" borderId="0" xfId="0" applyNumberFormat="1" applyFont="1" applyBorder="1" applyAlignment="1">
      <alignment horizontal="center" vertical="center" wrapText="1"/>
    </xf>
    <xf numFmtId="0" fontId="6" fillId="0" borderId="12" xfId="0" applyFont="1" applyBorder="1" applyAlignment="1">
      <alignment horizontal="center" vertical="center" wrapText="1"/>
    </xf>
    <xf numFmtId="0" fontId="3" fillId="0" borderId="12" xfId="0" applyFont="1" applyBorder="1" applyAlignment="1">
      <alignment horizontal="center" wrapText="1"/>
    </xf>
    <xf numFmtId="17" fontId="3" fillId="0" borderId="12" xfId="0" applyNumberFormat="1" applyFont="1" applyBorder="1" applyAlignment="1">
      <alignment horizontal="center" vertical="center"/>
    </xf>
    <xf numFmtId="4" fontId="3" fillId="0" borderId="12" xfId="2" applyNumberFormat="1" applyFont="1" applyFill="1" applyBorder="1" applyAlignment="1">
      <alignment horizontal="center" vertical="center" wrapText="1"/>
    </xf>
    <xf numFmtId="0" fontId="3" fillId="0" borderId="2" xfId="0" applyFont="1" applyBorder="1" applyAlignment="1">
      <alignment horizontal="center" vertical="center" wrapText="1"/>
    </xf>
    <xf numFmtId="4" fontId="3" fillId="0" borderId="0" xfId="2" applyNumberFormat="1" applyFont="1" applyBorder="1" applyAlignment="1">
      <alignment horizontal="center" vertical="center" wrapText="1"/>
    </xf>
    <xf numFmtId="0" fontId="3" fillId="0" borderId="2" xfId="0" applyFont="1" applyBorder="1" applyAlignment="1">
      <alignment horizontal="center" vertical="center"/>
    </xf>
    <xf numFmtId="14" fontId="3" fillId="0" borderId="2" xfId="0" applyNumberFormat="1" applyFont="1" applyBorder="1" applyAlignment="1">
      <alignment horizontal="center" vertical="center"/>
    </xf>
    <xf numFmtId="0" fontId="6" fillId="0" borderId="0" xfId="0" applyFont="1" applyFill="1" applyBorder="1" applyAlignment="1">
      <alignment horizontal="center" vertical="center" wrapText="1"/>
    </xf>
    <xf numFmtId="4" fontId="3" fillId="0" borderId="0" xfId="2" applyNumberFormat="1" applyFont="1" applyFill="1" applyBorder="1" applyAlignment="1">
      <alignment horizontal="center" vertical="center" wrapText="1"/>
    </xf>
    <xf numFmtId="14" fontId="3" fillId="0" borderId="0" xfId="0" applyNumberFormat="1" applyFont="1" applyFill="1" applyBorder="1" applyAlignment="1">
      <alignment horizontal="center" vertical="center"/>
    </xf>
    <xf numFmtId="0" fontId="3" fillId="0" borderId="0" xfId="0" applyFont="1" applyBorder="1" applyAlignment="1">
      <alignment horizontal="center" wrapText="1"/>
    </xf>
    <xf numFmtId="0" fontId="6" fillId="0" borderId="0" xfId="0" applyFont="1" applyBorder="1" applyAlignment="1">
      <alignment horizontal="center" vertical="center" wrapText="1"/>
    </xf>
    <xf numFmtId="0" fontId="2" fillId="4" borderId="16" xfId="0" applyFont="1" applyFill="1" applyBorder="1" applyAlignment="1">
      <alignment horizontal="center"/>
    </xf>
    <xf numFmtId="4" fontId="3" fillId="5" borderId="2" xfId="0" applyNumberFormat="1" applyFont="1" applyFill="1" applyBorder="1" applyAlignment="1">
      <alignment horizontal="center" vertical="center" wrapText="1"/>
    </xf>
    <xf numFmtId="4" fontId="3" fillId="5" borderId="6" xfId="0" applyNumberFormat="1" applyFont="1" applyFill="1" applyBorder="1" applyAlignment="1">
      <alignment horizontal="center" vertical="center" wrapText="1"/>
    </xf>
    <xf numFmtId="0" fontId="6" fillId="0" borderId="0" xfId="0" applyFont="1" applyAlignment="1">
      <alignment horizontal="center" vertical="center"/>
    </xf>
    <xf numFmtId="0" fontId="3" fillId="0" borderId="12" xfId="0" quotePrefix="1" applyFont="1" applyFill="1" applyBorder="1" applyAlignment="1">
      <alignment horizontal="center" vertical="center"/>
    </xf>
    <xf numFmtId="0" fontId="3" fillId="0" borderId="0" xfId="0" applyFont="1" applyBorder="1"/>
    <xf numFmtId="164" fontId="3" fillId="0" borderId="0" xfId="0" applyNumberFormat="1" applyFont="1" applyBorder="1" applyAlignment="1">
      <alignment horizontal="center" vertical="center"/>
    </xf>
    <xf numFmtId="0" fontId="3" fillId="5" borderId="2"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3" fillId="0" borderId="12" xfId="0" applyNumberFormat="1" applyFont="1" applyBorder="1" applyAlignment="1">
      <alignment horizontal="center" vertical="center" wrapText="1"/>
    </xf>
    <xf numFmtId="4" fontId="3" fillId="6" borderId="12" xfId="1" applyNumberFormat="1" applyFont="1" applyFill="1" applyBorder="1" applyAlignment="1">
      <alignment horizontal="center" vertical="center" wrapText="1"/>
    </xf>
    <xf numFmtId="4" fontId="4" fillId="6" borderId="12" xfId="1" applyNumberFormat="1" applyFont="1" applyFill="1" applyBorder="1" applyAlignment="1">
      <alignment horizontal="center" vertical="center" wrapText="1"/>
    </xf>
    <xf numFmtId="49" fontId="3" fillId="0" borderId="12" xfId="0" applyNumberFormat="1" applyFont="1" applyBorder="1" applyAlignment="1">
      <alignment horizontal="center" vertical="center" wrapText="1"/>
    </xf>
    <xf numFmtId="0" fontId="4" fillId="0" borderId="17" xfId="0" applyFont="1" applyBorder="1" applyAlignment="1">
      <alignment horizontal="center" vertical="center" wrapText="1"/>
    </xf>
    <xf numFmtId="4" fontId="4" fillId="0" borderId="10" xfId="0" applyNumberFormat="1" applyFont="1" applyBorder="1" applyAlignment="1">
      <alignment horizontal="center" vertical="center" wrapText="1"/>
    </xf>
    <xf numFmtId="0" fontId="4" fillId="0" borderId="10" xfId="0" applyFont="1" applyBorder="1" applyAlignment="1">
      <alignment vertical="center"/>
    </xf>
    <xf numFmtId="0" fontId="4" fillId="0" borderId="18" xfId="0" applyFont="1" applyBorder="1" applyAlignment="1">
      <alignment horizontal="center"/>
    </xf>
    <xf numFmtId="0" fontId="4" fillId="0" borderId="19" xfId="0" applyFont="1" applyBorder="1" applyAlignment="1">
      <alignment horizontal="center" vertical="center" wrapText="1"/>
    </xf>
    <xf numFmtId="0" fontId="4" fillId="0" borderId="10" xfId="0" applyFont="1" applyBorder="1" applyAlignment="1">
      <alignment horizontal="center"/>
    </xf>
    <xf numFmtId="0" fontId="4" fillId="0" borderId="10" xfId="0" applyFont="1" applyBorder="1" applyAlignment="1">
      <alignment horizontal="center" vertical="center" wrapText="1"/>
    </xf>
    <xf numFmtId="4" fontId="3" fillId="5" borderId="9" xfId="0" applyNumberFormat="1" applyFont="1" applyFill="1" applyBorder="1" applyAlignment="1">
      <alignment horizontal="center" vertical="center" wrapText="1"/>
    </xf>
    <xf numFmtId="0" fontId="3" fillId="5" borderId="9" xfId="0" applyFont="1" applyFill="1" applyBorder="1" applyAlignment="1">
      <alignment horizontal="center" vertical="center" wrapText="1"/>
    </xf>
    <xf numFmtId="0" fontId="4" fillId="0" borderId="9" xfId="0" applyFont="1" applyBorder="1" applyAlignment="1">
      <alignment horizontal="center"/>
    </xf>
    <xf numFmtId="0" fontId="3" fillId="0" borderId="12" xfId="1" applyNumberFormat="1" applyFont="1" applyFill="1" applyBorder="1" applyAlignment="1">
      <alignment horizontal="center" vertical="center" wrapText="1"/>
    </xf>
    <xf numFmtId="0" fontId="2" fillId="0" borderId="0" xfId="0" applyFont="1" applyFill="1" applyBorder="1" applyAlignment="1">
      <alignment horizontal="center"/>
    </xf>
    <xf numFmtId="0" fontId="4" fillId="0" borderId="0" xfId="0" applyFont="1" applyBorder="1"/>
    <xf numFmtId="0" fontId="4" fillId="0" borderId="20" xfId="0" applyFont="1" applyBorder="1"/>
    <xf numFmtId="0" fontId="4" fillId="0" borderId="9" xfId="0" applyFont="1" applyBorder="1" applyAlignment="1">
      <alignment horizontal="center" vertical="center" wrapText="1"/>
    </xf>
    <xf numFmtId="0" fontId="3" fillId="6" borderId="12" xfId="0" applyFont="1" applyFill="1" applyBorder="1" applyAlignment="1">
      <alignment horizontal="center" vertical="center"/>
    </xf>
    <xf numFmtId="0" fontId="3" fillId="6" borderId="6" xfId="0" applyFont="1" applyFill="1" applyBorder="1" applyAlignment="1">
      <alignment horizontal="center" vertical="center" wrapText="1"/>
    </xf>
    <xf numFmtId="0" fontId="3" fillId="6" borderId="12" xfId="0" applyFont="1" applyFill="1" applyBorder="1" applyAlignment="1">
      <alignment horizontal="center" vertical="center" wrapText="1"/>
    </xf>
    <xf numFmtId="14" fontId="3" fillId="6" borderId="12" xfId="0" applyNumberFormat="1" applyFont="1" applyFill="1" applyBorder="1" applyAlignment="1">
      <alignment horizontal="center" vertical="center"/>
    </xf>
    <xf numFmtId="0" fontId="3" fillId="6" borderId="21" xfId="0" applyFont="1" applyFill="1" applyBorder="1" applyAlignment="1">
      <alignment horizontal="center" vertical="center"/>
    </xf>
    <xf numFmtId="0" fontId="6" fillId="6" borderId="12" xfId="0" applyFont="1" applyFill="1" applyBorder="1" applyAlignment="1">
      <alignment horizontal="center" vertical="center" wrapText="1"/>
    </xf>
    <xf numFmtId="4" fontId="3" fillId="6" borderId="22" xfId="0" applyNumberFormat="1" applyFont="1" applyFill="1" applyBorder="1" applyAlignment="1">
      <alignment horizontal="center" vertical="center" wrapText="1"/>
    </xf>
    <xf numFmtId="4" fontId="3" fillId="0" borderId="12" xfId="0" applyNumberFormat="1" applyFont="1" applyBorder="1" applyAlignment="1">
      <alignment horizontal="center" vertical="center"/>
    </xf>
    <xf numFmtId="4" fontId="3" fillId="0" borderId="12" xfId="0" applyNumberFormat="1" applyFont="1" applyFill="1" applyBorder="1" applyAlignment="1">
      <alignment horizontal="center" vertical="center"/>
    </xf>
    <xf numFmtId="14" fontId="3" fillId="0" borderId="12" xfId="0" applyNumberFormat="1" applyFont="1" applyFill="1" applyBorder="1" applyAlignment="1">
      <alignment horizontal="center" vertical="center" wrapText="1"/>
    </xf>
    <xf numFmtId="4" fontId="4" fillId="0" borderId="12" xfId="0" applyNumberFormat="1" applyFont="1" applyFill="1" applyBorder="1" applyAlignment="1">
      <alignment horizontal="center" vertical="center"/>
    </xf>
    <xf numFmtId="14" fontId="3" fillId="0" borderId="12" xfId="0" applyNumberFormat="1" applyFont="1" applyFill="1" applyBorder="1" applyAlignment="1">
      <alignment horizontal="center" vertical="center"/>
    </xf>
    <xf numFmtId="14" fontId="4" fillId="0" borderId="12" xfId="0" applyNumberFormat="1" applyFont="1" applyFill="1" applyBorder="1" applyAlignment="1">
      <alignment horizontal="center" vertical="center"/>
    </xf>
    <xf numFmtId="4" fontId="3" fillId="0" borderId="0" xfId="0" applyNumberFormat="1" applyFont="1" applyFill="1" applyBorder="1" applyAlignment="1">
      <alignment horizontal="center" vertical="center"/>
    </xf>
    <xf numFmtId="14" fontId="4" fillId="0" borderId="0" xfId="0" applyNumberFormat="1" applyFont="1" applyFill="1" applyBorder="1" applyAlignment="1">
      <alignment horizontal="center" vertical="center"/>
    </xf>
    <xf numFmtId="14" fontId="3" fillId="0" borderId="0" xfId="0" applyNumberFormat="1" applyFont="1" applyFill="1" applyBorder="1" applyAlignment="1">
      <alignment horizontal="center" vertical="center" wrapText="1"/>
    </xf>
    <xf numFmtId="165" fontId="3" fillId="0" borderId="12" xfId="0" applyNumberFormat="1" applyFont="1" applyBorder="1" applyAlignment="1">
      <alignment horizontal="center" vertical="center" wrapText="1"/>
    </xf>
    <xf numFmtId="0" fontId="3" fillId="0" borderId="12" xfId="4" applyFont="1" applyFill="1" applyBorder="1" applyAlignment="1">
      <alignment horizontal="center" vertical="center"/>
    </xf>
    <xf numFmtId="4" fontId="3" fillId="0" borderId="12" xfId="5" applyNumberFormat="1" applyFont="1" applyFill="1" applyBorder="1" applyAlignment="1">
      <alignment horizontal="center" vertical="center"/>
    </xf>
    <xf numFmtId="0" fontId="4" fillId="0" borderId="12" xfId="4" applyFont="1" applyFill="1" applyBorder="1" applyAlignment="1">
      <alignment horizontal="center" vertical="center"/>
    </xf>
    <xf numFmtId="4" fontId="3" fillId="0" borderId="0" xfId="0" applyNumberFormat="1" applyFont="1" applyAlignment="1">
      <alignment horizontal="center" vertical="center"/>
    </xf>
    <xf numFmtId="18" fontId="3" fillId="0" borderId="12" xfId="0" applyNumberFormat="1" applyFont="1" applyBorder="1" applyAlignment="1">
      <alignment horizontal="center" vertical="center"/>
    </xf>
    <xf numFmtId="0" fontId="3" fillId="0" borderId="14" xfId="0" applyFont="1" applyBorder="1" applyAlignment="1">
      <alignment horizontal="center" vertical="center"/>
    </xf>
    <xf numFmtId="0" fontId="3" fillId="0" borderId="14" xfId="0" applyFont="1" applyBorder="1" applyAlignment="1">
      <alignment horizontal="center" vertical="center" wrapText="1"/>
    </xf>
    <xf numFmtId="164" fontId="3" fillId="0" borderId="14" xfId="0" applyNumberFormat="1" applyFont="1" applyBorder="1" applyAlignment="1">
      <alignment horizontal="center" vertical="center"/>
    </xf>
    <xf numFmtId="0" fontId="3" fillId="0" borderId="12" xfId="0" applyFont="1" applyBorder="1" applyAlignment="1">
      <alignment horizontal="center"/>
    </xf>
    <xf numFmtId="0" fontId="4" fillId="6" borderId="12" xfId="1" applyNumberFormat="1" applyFont="1" applyFill="1" applyBorder="1" applyAlignment="1">
      <alignment horizontal="center" vertical="center" wrapText="1"/>
    </xf>
    <xf numFmtId="4" fontId="3" fillId="6" borderId="12" xfId="0" applyNumberFormat="1" applyFont="1" applyFill="1" applyBorder="1" applyAlignment="1">
      <alignment horizontal="center" vertical="center"/>
    </xf>
    <xf numFmtId="0" fontId="7" fillId="0" borderId="12" xfId="0" applyFont="1" applyBorder="1" applyAlignment="1">
      <alignment horizontal="center" vertical="center" wrapText="1"/>
    </xf>
    <xf numFmtId="0" fontId="3" fillId="0" borderId="12" xfId="0" applyFont="1" applyFill="1" applyBorder="1" applyAlignment="1">
      <alignment horizontal="center" wrapText="1"/>
    </xf>
    <xf numFmtId="164" fontId="3" fillId="0" borderId="0" xfId="0" applyNumberFormat="1" applyFont="1" applyBorder="1" applyAlignment="1">
      <alignment horizontal="center" vertical="center" wrapText="1"/>
    </xf>
    <xf numFmtId="0" fontId="3" fillId="0" borderId="0" xfId="0" applyFont="1" applyBorder="1" applyAlignment="1">
      <alignment vertical="center" wrapText="1"/>
    </xf>
    <xf numFmtId="0" fontId="4" fillId="6" borderId="12" xfId="0" applyFont="1" applyFill="1" applyBorder="1" applyAlignment="1">
      <alignment horizontal="center" vertical="center"/>
    </xf>
    <xf numFmtId="4" fontId="4" fillId="6" borderId="12" xfId="1" applyNumberFormat="1" applyFont="1" applyFill="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xf>
    <xf numFmtId="0" fontId="4" fillId="0" borderId="1" xfId="0" applyFont="1" applyBorder="1" applyAlignment="1">
      <alignment horizontal="center" vertical="center" wrapText="1"/>
    </xf>
    <xf numFmtId="4" fontId="3" fillId="0" borderId="2" xfId="0" applyNumberFormat="1" applyFont="1" applyBorder="1" applyAlignment="1">
      <alignment horizontal="center" vertical="center"/>
    </xf>
    <xf numFmtId="4" fontId="3" fillId="0" borderId="14" xfId="0" applyNumberFormat="1" applyFont="1" applyBorder="1" applyAlignment="1">
      <alignment horizontal="center" vertical="center"/>
    </xf>
    <xf numFmtId="4" fontId="3" fillId="0" borderId="0" xfId="0" applyNumberFormat="1" applyFont="1" applyBorder="1" applyAlignment="1">
      <alignment horizontal="center" vertical="center"/>
    </xf>
    <xf numFmtId="0" fontId="4" fillId="6" borderId="12" xfId="0" applyFont="1" applyFill="1" applyBorder="1" applyAlignment="1">
      <alignment horizontal="center" vertical="center" wrapText="1"/>
    </xf>
    <xf numFmtId="0" fontId="3" fillId="6" borderId="2" xfId="0" applyFont="1" applyFill="1" applyBorder="1" applyAlignment="1">
      <alignment horizontal="center" vertical="center"/>
    </xf>
    <xf numFmtId="0" fontId="3" fillId="6" borderId="2" xfId="0" applyFont="1" applyFill="1" applyBorder="1" applyAlignment="1">
      <alignment horizontal="center" vertical="center" wrapText="1"/>
    </xf>
    <xf numFmtId="4" fontId="3" fillId="6" borderId="2" xfId="0" applyNumberFormat="1" applyFont="1" applyFill="1" applyBorder="1" applyAlignment="1">
      <alignment horizontal="center" vertical="center"/>
    </xf>
    <xf numFmtId="0" fontId="3" fillId="7" borderId="14" xfId="0" applyFont="1" applyFill="1" applyBorder="1" applyAlignment="1">
      <alignment horizontal="center" vertical="center"/>
    </xf>
    <xf numFmtId="0" fontId="3" fillId="7" borderId="14" xfId="0" applyFont="1" applyFill="1" applyBorder="1" applyAlignment="1">
      <alignment horizontal="center" vertical="center" wrapText="1"/>
    </xf>
    <xf numFmtId="4" fontId="3" fillId="7" borderId="14" xfId="0" applyNumberFormat="1" applyFont="1" applyFill="1" applyBorder="1" applyAlignment="1">
      <alignment horizontal="center" vertical="center" wrapText="1"/>
    </xf>
    <xf numFmtId="0" fontId="3" fillId="7" borderId="14" xfId="0" applyFont="1" applyFill="1" applyBorder="1" applyAlignment="1">
      <alignment horizontal="center" vertical="top"/>
    </xf>
    <xf numFmtId="4" fontId="3" fillId="0" borderId="12" xfId="2" applyNumberFormat="1" applyFont="1" applyFill="1" applyBorder="1" applyAlignment="1">
      <alignment horizontal="center" vertical="center"/>
    </xf>
    <xf numFmtId="14" fontId="3" fillId="0" borderId="6" xfId="0" applyNumberFormat="1" applyFont="1" applyFill="1" applyBorder="1" applyAlignment="1">
      <alignment horizontal="center" vertical="center" wrapText="1"/>
    </xf>
    <xf numFmtId="14" fontId="6" fillId="0" borderId="12" xfId="0" applyNumberFormat="1" applyFont="1" applyFill="1" applyBorder="1" applyAlignment="1">
      <alignment horizontal="center" vertical="center" wrapText="1"/>
    </xf>
    <xf numFmtId="0" fontId="6" fillId="0" borderId="22" xfId="0" applyFont="1" applyBorder="1" applyAlignment="1">
      <alignment horizontal="center" vertical="center"/>
    </xf>
    <xf numFmtId="0" fontId="3" fillId="0" borderId="22" xfId="0" applyFont="1" applyBorder="1" applyAlignment="1">
      <alignment horizontal="center" vertical="center"/>
    </xf>
    <xf numFmtId="0" fontId="6" fillId="0" borderId="22" xfId="0" applyFont="1" applyBorder="1" applyAlignment="1">
      <alignment horizontal="center" vertical="center" wrapText="1"/>
    </xf>
    <xf numFmtId="0" fontId="3" fillId="0" borderId="22" xfId="0" applyFont="1" applyBorder="1" applyAlignment="1">
      <alignment horizontal="center" vertical="center" wrapText="1"/>
    </xf>
    <xf numFmtId="14" fontId="3" fillId="0" borderId="22" xfId="0" applyNumberFormat="1" applyFont="1" applyBorder="1" applyAlignment="1">
      <alignment horizontal="center" vertical="center"/>
    </xf>
    <xf numFmtId="0" fontId="6" fillId="0" borderId="12" xfId="0" applyFont="1" applyBorder="1" applyAlignment="1">
      <alignment horizontal="center" vertical="center"/>
    </xf>
    <xf numFmtId="0" fontId="6" fillId="0" borderId="6" xfId="0" applyFont="1" applyFill="1" applyBorder="1" applyAlignment="1">
      <alignment horizontal="center" vertical="center" wrapText="1"/>
    </xf>
    <xf numFmtId="14" fontId="6" fillId="0" borderId="6" xfId="0" applyNumberFormat="1" applyFont="1" applyBorder="1" applyAlignment="1">
      <alignment horizontal="center" vertical="center" wrapText="1"/>
    </xf>
    <xf numFmtId="0" fontId="3" fillId="0" borderId="23" xfId="0" applyFont="1" applyBorder="1" applyAlignment="1">
      <alignment horizontal="center" vertical="center"/>
    </xf>
    <xf numFmtId="14" fontId="6" fillId="0" borderId="12" xfId="0" applyNumberFormat="1" applyFont="1" applyBorder="1" applyAlignment="1">
      <alignment horizontal="center" vertical="center" wrapText="1"/>
    </xf>
    <xf numFmtId="14" fontId="3" fillId="0" borderId="22" xfId="0" applyNumberFormat="1" applyFont="1" applyFill="1" applyBorder="1" applyAlignment="1">
      <alignment horizontal="center" vertical="center" wrapText="1"/>
    </xf>
    <xf numFmtId="0" fontId="6" fillId="0" borderId="6" xfId="0" applyFont="1" applyBorder="1" applyAlignment="1">
      <alignment horizontal="center" vertical="center"/>
    </xf>
    <xf numFmtId="0" fontId="6" fillId="0" borderId="23" xfId="0" applyFont="1" applyBorder="1" applyAlignment="1">
      <alignment horizontal="center" vertical="center"/>
    </xf>
    <xf numFmtId="164" fontId="3" fillId="0" borderId="0" xfId="0" applyNumberFormat="1" applyFont="1" applyFill="1" applyBorder="1" applyAlignment="1">
      <alignment horizontal="center" vertical="center" wrapText="1"/>
    </xf>
    <xf numFmtId="2" fontId="3" fillId="0" borderId="0" xfId="0" applyNumberFormat="1" applyFont="1" applyBorder="1" applyAlignment="1">
      <alignment horizontal="center" vertical="center"/>
    </xf>
    <xf numFmtId="0" fontId="12" fillId="0" borderId="0" xfId="0" applyFont="1"/>
    <xf numFmtId="0" fontId="0" fillId="0" borderId="0" xfId="0" applyAlignment="1">
      <alignment horizontal="center"/>
    </xf>
    <xf numFmtId="0" fontId="0" fillId="0" borderId="0" xfId="0" applyAlignment="1">
      <alignment horizontal="right"/>
    </xf>
    <xf numFmtId="0" fontId="2" fillId="5" borderId="12" xfId="0" applyFont="1" applyFill="1" applyBorder="1" applyAlignment="1">
      <alignment horizontal="center" vertical="center" wrapText="1"/>
    </xf>
    <xf numFmtId="0" fontId="13" fillId="0" borderId="12" xfId="0" applyFont="1" applyBorder="1"/>
    <xf numFmtId="0" fontId="13" fillId="0" borderId="12" xfId="0" applyFont="1" applyBorder="1" applyAlignment="1">
      <alignment horizontal="center"/>
    </xf>
    <xf numFmtId="10" fontId="13" fillId="0" borderId="12" xfId="3" applyNumberFormat="1" applyFont="1" applyBorder="1" applyAlignment="1">
      <alignment horizontal="right"/>
    </xf>
    <xf numFmtId="4" fontId="13" fillId="0" borderId="12" xfId="0" applyNumberFormat="1" applyFont="1" applyBorder="1"/>
    <xf numFmtId="10" fontId="13" fillId="0" borderId="12" xfId="3" applyNumberFormat="1" applyFont="1" applyBorder="1"/>
    <xf numFmtId="4" fontId="0" fillId="0" borderId="0" xfId="0" applyNumberFormat="1"/>
    <xf numFmtId="0" fontId="13" fillId="0" borderId="12" xfId="0" applyFont="1" applyBorder="1" applyAlignment="1">
      <alignment wrapText="1"/>
    </xf>
    <xf numFmtId="0" fontId="2" fillId="8" borderId="12" xfId="0" applyFont="1" applyFill="1" applyBorder="1"/>
    <xf numFmtId="0" fontId="2" fillId="8" borderId="12" xfId="0" applyFont="1" applyFill="1" applyBorder="1" applyAlignment="1">
      <alignment horizontal="center"/>
    </xf>
    <xf numFmtId="10" fontId="2" fillId="8" borderId="12" xfId="0" applyNumberFormat="1" applyFont="1" applyFill="1" applyBorder="1" applyAlignment="1">
      <alignment horizontal="right"/>
    </xf>
    <xf numFmtId="4" fontId="2" fillId="8" borderId="12" xfId="0" applyNumberFormat="1" applyFont="1" applyFill="1" applyBorder="1"/>
    <xf numFmtId="10" fontId="2" fillId="8" borderId="12" xfId="0" applyNumberFormat="1" applyFont="1" applyFill="1" applyBorder="1"/>
    <xf numFmtId="0" fontId="14" fillId="0" borderId="0" xfId="0" applyFont="1"/>
    <xf numFmtId="0" fontId="15" fillId="0" borderId="0" xfId="0" applyFont="1" applyFill="1" applyBorder="1" applyAlignment="1">
      <alignment horizontal="center" wrapText="1"/>
    </xf>
    <xf numFmtId="0" fontId="16" fillId="0" borderId="0" xfId="0" applyFont="1" applyFill="1" applyBorder="1" applyAlignment="1">
      <alignment wrapText="1"/>
    </xf>
    <xf numFmtId="4" fontId="16" fillId="0" borderId="0" xfId="0" applyNumberFormat="1" applyFont="1" applyFill="1" applyBorder="1" applyAlignment="1">
      <alignment horizontal="right"/>
    </xf>
    <xf numFmtId="0" fontId="16" fillId="0" borderId="0" xfId="0" applyFont="1" applyFill="1" applyBorder="1"/>
    <xf numFmtId="0" fontId="15" fillId="9" borderId="12" xfId="0" applyFont="1" applyFill="1" applyBorder="1" applyAlignment="1">
      <alignment horizontal="center" wrapText="1"/>
    </xf>
    <xf numFmtId="4" fontId="15" fillId="9" borderId="12" xfId="0" applyNumberFormat="1" applyFont="1" applyFill="1" applyBorder="1" applyAlignment="1">
      <alignment horizontal="center" vertical="center"/>
    </xf>
    <xf numFmtId="0" fontId="15" fillId="9" borderId="12" xfId="0" applyFont="1" applyFill="1" applyBorder="1" applyAlignment="1">
      <alignment horizontal="center"/>
    </xf>
    <xf numFmtId="0" fontId="16" fillId="0" borderId="12" xfId="0" applyFont="1" applyFill="1" applyBorder="1" applyAlignment="1">
      <alignment wrapText="1"/>
    </xf>
    <xf numFmtId="4" fontId="16" fillId="0" borderId="12" xfId="0" applyNumberFormat="1" applyFont="1" applyFill="1" applyBorder="1" applyAlignment="1">
      <alignment horizontal="right"/>
    </xf>
    <xf numFmtId="10" fontId="16" fillId="0" borderId="12" xfId="0" applyNumberFormat="1" applyFont="1" applyFill="1" applyBorder="1"/>
    <xf numFmtId="4" fontId="16" fillId="0" borderId="12" xfId="0" applyNumberFormat="1" applyFont="1" applyFill="1" applyBorder="1" applyAlignment="1">
      <alignment horizontal="right" vertical="center"/>
    </xf>
    <xf numFmtId="4" fontId="14" fillId="0" borderId="0" xfId="0" applyNumberFormat="1" applyFont="1"/>
    <xf numFmtId="0" fontId="15" fillId="10" borderId="12" xfId="0" applyFont="1" applyFill="1" applyBorder="1" applyAlignment="1">
      <alignment wrapText="1"/>
    </xf>
    <xf numFmtId="4" fontId="15" fillId="10" borderId="12" xfId="0" applyNumberFormat="1" applyFont="1" applyFill="1" applyBorder="1" applyAlignment="1">
      <alignment horizontal="right"/>
    </xf>
    <xf numFmtId="10" fontId="15" fillId="10" borderId="12" xfId="0" applyNumberFormat="1" applyFont="1" applyFill="1" applyBorder="1"/>
    <xf numFmtId="0" fontId="14" fillId="0" borderId="0" xfId="0" applyFont="1" applyAlignment="1"/>
    <xf numFmtId="0" fontId="14" fillId="0" borderId="0" xfId="0" applyFont="1" applyAlignment="1">
      <alignment wrapText="1"/>
    </xf>
    <xf numFmtId="0" fontId="14" fillId="0" borderId="0" xfId="0" applyFont="1" applyAlignment="1">
      <alignment horizontal="left" wrapText="1"/>
    </xf>
    <xf numFmtId="0" fontId="14" fillId="0" borderId="0" xfId="0" applyFont="1" applyAlignment="1">
      <alignment horizontal="left" wrapText="1"/>
    </xf>
    <xf numFmtId="0" fontId="14" fillId="0" borderId="0" xfId="0" applyFont="1" applyAlignment="1">
      <alignment horizontal="left"/>
    </xf>
    <xf numFmtId="0" fontId="2" fillId="11" borderId="0" xfId="0" applyFont="1" applyFill="1" applyAlignment="1">
      <alignment horizontal="center" wrapText="1"/>
    </xf>
    <xf numFmtId="0" fontId="3" fillId="0" borderId="0" xfId="0" applyFont="1" applyAlignment="1">
      <alignment wrapText="1"/>
    </xf>
    <xf numFmtId="0" fontId="3" fillId="0" borderId="0" xfId="0" applyFont="1" applyAlignment="1">
      <alignment horizontal="left" wrapText="1"/>
    </xf>
    <xf numFmtId="0" fontId="3" fillId="0" borderId="0" xfId="0" applyFont="1" applyAlignment="1">
      <alignment horizontal="right" wrapText="1"/>
    </xf>
    <xf numFmtId="0" fontId="3" fillId="12" borderId="12" xfId="0" applyFont="1" applyFill="1" applyBorder="1" applyAlignment="1">
      <alignment horizontal="center" vertical="center" wrapText="1"/>
    </xf>
    <xf numFmtId="0" fontId="4" fillId="6" borderId="12" xfId="0" applyFont="1" applyFill="1" applyBorder="1" applyAlignment="1">
      <alignment horizontal="left" wrapText="1"/>
    </xf>
    <xf numFmtId="8" fontId="3" fillId="6" borderId="12" xfId="2" applyNumberFormat="1" applyFont="1" applyFill="1" applyBorder="1" applyAlignment="1">
      <alignment horizontal="right" wrapText="1"/>
    </xf>
    <xf numFmtId="0" fontId="4" fillId="0" borderId="12" xfId="0" applyFont="1" applyBorder="1" applyAlignment="1">
      <alignment horizontal="left" wrapText="1"/>
    </xf>
    <xf numFmtId="0" fontId="3" fillId="6" borderId="12" xfId="0" applyFont="1" applyFill="1" applyBorder="1" applyAlignment="1">
      <alignment horizontal="left" wrapText="1"/>
    </xf>
    <xf numFmtId="8" fontId="4" fillId="6" borderId="12" xfId="2" applyNumberFormat="1" applyFont="1" applyFill="1" applyBorder="1" applyAlignment="1">
      <alignment horizontal="right" wrapText="1"/>
    </xf>
    <xf numFmtId="0" fontId="4" fillId="6" borderId="0" xfId="0" applyFont="1" applyFill="1" applyBorder="1" applyAlignment="1">
      <alignment horizontal="center" vertical="center" wrapText="1"/>
    </xf>
    <xf numFmtId="0" fontId="4" fillId="6" borderId="0" xfId="0" applyFont="1" applyFill="1" applyBorder="1" applyAlignment="1">
      <alignment horizontal="left" wrapText="1"/>
    </xf>
    <xf numFmtId="8" fontId="4" fillId="6" borderId="0" xfId="2" applyNumberFormat="1" applyFont="1" applyFill="1" applyBorder="1" applyAlignment="1">
      <alignment horizontal="right" wrapText="1"/>
    </xf>
    <xf numFmtId="0" fontId="3" fillId="6" borderId="0" xfId="0" applyFont="1" applyFill="1" applyBorder="1" applyAlignment="1">
      <alignment horizontal="center" vertical="center" wrapText="1"/>
    </xf>
    <xf numFmtId="0" fontId="3" fillId="6" borderId="0" xfId="0" applyFont="1" applyFill="1" applyBorder="1" applyAlignment="1">
      <alignment horizontal="left" wrapText="1"/>
    </xf>
    <xf numFmtId="8" fontId="3" fillId="6" borderId="0" xfId="2" applyNumberFormat="1" applyFont="1" applyFill="1" applyBorder="1" applyAlignment="1">
      <alignment horizontal="right" wrapText="1"/>
    </xf>
    <xf numFmtId="0" fontId="3" fillId="0" borderId="0" xfId="0" applyFont="1" applyBorder="1" applyAlignment="1">
      <alignment wrapText="1"/>
    </xf>
    <xf numFmtId="0" fontId="3" fillId="0" borderId="12" xfId="0" applyFont="1" applyBorder="1" applyAlignment="1">
      <alignment wrapText="1"/>
    </xf>
    <xf numFmtId="0" fontId="2" fillId="11" borderId="0" xfId="0" applyFont="1" applyFill="1" applyBorder="1" applyAlignment="1">
      <alignment horizontal="center" wrapText="1"/>
    </xf>
    <xf numFmtId="0" fontId="3" fillId="0" borderId="0" xfId="0" applyFont="1" applyBorder="1" applyAlignment="1">
      <alignment horizontal="left" wrapText="1"/>
    </xf>
    <xf numFmtId="0" fontId="3" fillId="0" borderId="0" xfId="0" applyFont="1" applyBorder="1" applyAlignment="1">
      <alignment horizontal="right" wrapText="1"/>
    </xf>
    <xf numFmtId="0" fontId="3" fillId="12" borderId="2" xfId="0" applyFont="1" applyFill="1" applyBorder="1" applyAlignment="1">
      <alignment horizontal="center" vertical="center" wrapText="1"/>
    </xf>
    <xf numFmtId="0" fontId="3" fillId="12" borderId="6" xfId="0" applyFont="1" applyFill="1" applyBorder="1" applyAlignment="1">
      <alignment horizontal="center" vertical="center" wrapText="1"/>
    </xf>
    <xf numFmtId="0" fontId="3" fillId="0" borderId="12" xfId="0" applyFont="1" applyFill="1" applyBorder="1" applyAlignment="1">
      <alignment horizontal="left" wrapText="1"/>
    </xf>
    <xf numFmtId="166" fontId="3" fillId="0" borderId="12" xfId="0" applyNumberFormat="1" applyFont="1" applyBorder="1" applyAlignment="1">
      <alignment horizontal="right" wrapText="1"/>
    </xf>
    <xf numFmtId="0" fontId="3" fillId="0" borderId="12" xfId="0" applyFont="1" applyBorder="1" applyAlignment="1">
      <alignment horizontal="left" wrapText="1"/>
    </xf>
    <xf numFmtId="166" fontId="3" fillId="0" borderId="12" xfId="0" applyNumberFormat="1" applyFont="1" applyFill="1" applyBorder="1" applyAlignment="1">
      <alignment horizontal="right" wrapText="1"/>
    </xf>
    <xf numFmtId="0" fontId="3" fillId="0" borderId="0" xfId="0" applyFont="1" applyFill="1" applyAlignment="1">
      <alignment wrapText="1"/>
    </xf>
    <xf numFmtId="0" fontId="3" fillId="0" borderId="6" xfId="0" applyFont="1" applyBorder="1" applyAlignment="1">
      <alignment horizontal="left" wrapText="1"/>
    </xf>
    <xf numFmtId="166" fontId="3" fillId="0" borderId="6" xfId="0" applyNumberFormat="1" applyFont="1" applyBorder="1" applyAlignment="1">
      <alignment horizontal="right" wrapText="1"/>
    </xf>
    <xf numFmtId="0" fontId="3" fillId="0" borderId="24" xfId="0" applyFont="1" applyFill="1" applyBorder="1" applyAlignment="1">
      <alignment horizontal="center" vertical="center" wrapText="1"/>
    </xf>
    <xf numFmtId="0" fontId="3" fillId="0" borderId="24" xfId="0" applyNumberFormat="1" applyFont="1" applyBorder="1" applyAlignment="1">
      <alignment horizontal="center" vertical="center" wrapText="1"/>
    </xf>
    <xf numFmtId="0" fontId="3" fillId="0" borderId="24" xfId="0" applyFont="1" applyBorder="1" applyAlignment="1">
      <alignment horizontal="left" wrapText="1"/>
    </xf>
    <xf numFmtId="166" fontId="3" fillId="0" borderId="24" xfId="0" applyNumberFormat="1" applyFont="1" applyBorder="1" applyAlignment="1">
      <alignment horizontal="right" wrapText="1"/>
    </xf>
    <xf numFmtId="14" fontId="3" fillId="0" borderId="24" xfId="0" applyNumberFormat="1" applyFont="1" applyBorder="1" applyAlignment="1">
      <alignment horizontal="center" vertical="center" wrapText="1"/>
    </xf>
    <xf numFmtId="14" fontId="3" fillId="0" borderId="0" xfId="0" applyNumberFormat="1" applyFont="1" applyBorder="1" applyAlignment="1">
      <alignment horizontal="center" vertical="center" wrapText="1"/>
    </xf>
    <xf numFmtId="166" fontId="4" fillId="0" borderId="0" xfId="0" applyNumberFormat="1" applyFont="1" applyBorder="1" applyAlignment="1">
      <alignment horizontal="right" wrapText="1"/>
    </xf>
    <xf numFmtId="1" fontId="4" fillId="0" borderId="0" xfId="0" applyNumberFormat="1" applyFont="1" applyBorder="1" applyAlignment="1">
      <alignment horizontal="center" vertical="center" wrapText="1"/>
    </xf>
    <xf numFmtId="44" fontId="4" fillId="0" borderId="12" xfId="2" applyFont="1" applyBorder="1" applyAlignment="1">
      <alignment horizontal="right" wrapText="1"/>
    </xf>
    <xf numFmtId="8" fontId="4" fillId="0" borderId="12" xfId="2" applyNumberFormat="1" applyFont="1" applyBorder="1" applyAlignment="1">
      <alignment horizontal="right" wrapText="1"/>
    </xf>
    <xf numFmtId="8" fontId="4" fillId="0" borderId="12" xfId="2" applyNumberFormat="1" applyFont="1" applyFill="1" applyBorder="1" applyAlignment="1">
      <alignment horizontal="right" wrapText="1"/>
    </xf>
    <xf numFmtId="8" fontId="3" fillId="0" borderId="12" xfId="2" applyNumberFormat="1" applyFont="1" applyFill="1" applyBorder="1" applyAlignment="1">
      <alignment horizontal="right" wrapText="1"/>
    </xf>
    <xf numFmtId="6" fontId="4" fillId="0" borderId="12" xfId="0" applyNumberFormat="1" applyFont="1" applyBorder="1" applyAlignment="1">
      <alignment horizontal="right" wrapText="1"/>
    </xf>
    <xf numFmtId="0" fontId="6" fillId="0" borderId="12" xfId="0" applyFont="1" applyBorder="1" applyAlignment="1">
      <alignment horizontal="left" wrapText="1"/>
    </xf>
    <xf numFmtId="8" fontId="3" fillId="0" borderId="12" xfId="2" applyNumberFormat="1" applyFont="1" applyBorder="1" applyAlignment="1">
      <alignment horizontal="right" wrapText="1"/>
    </xf>
    <xf numFmtId="44" fontId="3" fillId="0" borderId="12" xfId="2" applyFont="1" applyBorder="1" applyAlignment="1">
      <alignment horizontal="right" wrapText="1"/>
    </xf>
    <xf numFmtId="44" fontId="3" fillId="0" borderId="12" xfId="2" applyFont="1" applyFill="1" applyBorder="1" applyAlignment="1">
      <alignment horizontal="right" wrapText="1"/>
    </xf>
    <xf numFmtId="8" fontId="3" fillId="0" borderId="12" xfId="0" applyNumberFormat="1" applyFont="1" applyBorder="1" applyAlignment="1">
      <alignment horizontal="right" wrapText="1"/>
    </xf>
    <xf numFmtId="0" fontId="3" fillId="0" borderId="12" xfId="0" applyNumberFormat="1" applyFont="1" applyFill="1" applyBorder="1" applyAlignment="1">
      <alignment horizontal="center" vertical="center" wrapText="1"/>
    </xf>
    <xf numFmtId="0" fontId="4" fillId="0" borderId="12" xfId="0" applyNumberFormat="1" applyFont="1" applyFill="1" applyBorder="1" applyAlignment="1">
      <alignment horizontal="left" wrapText="1"/>
    </xf>
    <xf numFmtId="0" fontId="4" fillId="0" borderId="15" xfId="0" applyFont="1" applyBorder="1" applyAlignment="1">
      <alignment horizontal="center" vertical="center" wrapText="1"/>
    </xf>
    <xf numFmtId="0" fontId="3" fillId="6" borderId="15" xfId="0" applyFont="1" applyFill="1" applyBorder="1" applyAlignment="1">
      <alignment horizontal="left" wrapText="1"/>
    </xf>
    <xf numFmtId="166" fontId="4" fillId="0" borderId="15" xfId="0" applyNumberFormat="1" applyFont="1" applyBorder="1" applyAlignment="1">
      <alignment horizontal="right" wrapText="1"/>
    </xf>
    <xf numFmtId="1" fontId="4" fillId="0" borderId="15" xfId="0" applyNumberFormat="1" applyFont="1" applyBorder="1" applyAlignment="1">
      <alignment horizontal="center" vertical="center" wrapText="1"/>
    </xf>
    <xf numFmtId="0" fontId="3" fillId="12" borderId="24" xfId="0" applyFont="1" applyFill="1" applyBorder="1" applyAlignment="1">
      <alignment horizontal="center" vertical="center" wrapText="1"/>
    </xf>
    <xf numFmtId="7" fontId="3" fillId="0" borderId="12" xfId="2" applyNumberFormat="1" applyFont="1" applyFill="1" applyBorder="1" applyAlignment="1">
      <alignment horizontal="right" wrapText="1"/>
    </xf>
    <xf numFmtId="14" fontId="3" fillId="0" borderId="21" xfId="0" applyNumberFormat="1" applyFont="1" applyBorder="1" applyAlignment="1">
      <alignment horizontal="center" vertical="center" wrapText="1"/>
    </xf>
    <xf numFmtId="0" fontId="4" fillId="0" borderId="21" xfId="0" applyFont="1" applyBorder="1" applyAlignment="1">
      <alignment horizontal="center" vertical="center" wrapText="1"/>
    </xf>
    <xf numFmtId="0" fontId="3" fillId="0" borderId="21" xfId="0" applyFont="1" applyBorder="1" applyAlignment="1">
      <alignment horizontal="center" vertical="center" wrapText="1"/>
    </xf>
    <xf numFmtId="0" fontId="5" fillId="0" borderId="0" xfId="0" applyFont="1" applyAlignment="1">
      <alignment horizontal="center" vertical="center" wrapText="1"/>
    </xf>
    <xf numFmtId="7" fontId="3" fillId="0" borderId="0" xfId="2" applyNumberFormat="1" applyFont="1" applyFill="1" applyBorder="1" applyAlignment="1">
      <alignment horizontal="right" wrapText="1"/>
    </xf>
    <xf numFmtId="0" fontId="3" fillId="0" borderId="0" xfId="0" applyNumberFormat="1" applyFont="1" applyAlignment="1">
      <alignment horizontal="center" vertical="center" wrapText="1"/>
    </xf>
    <xf numFmtId="0" fontId="3" fillId="0" borderId="0" xfId="0" applyFont="1" applyFill="1" applyAlignment="1">
      <alignment horizontal="center" vertical="center" wrapText="1"/>
    </xf>
    <xf numFmtId="0" fontId="3" fillId="12" borderId="12" xfId="0" applyNumberFormat="1" applyFont="1" applyFill="1" applyBorder="1" applyAlignment="1">
      <alignment horizontal="center" vertical="center" wrapText="1"/>
    </xf>
    <xf numFmtId="0" fontId="4" fillId="0" borderId="12" xfId="0" applyFont="1" applyFill="1" applyBorder="1" applyAlignment="1">
      <alignment horizontal="left" wrapText="1"/>
    </xf>
    <xf numFmtId="167" fontId="3" fillId="0" borderId="12" xfId="2" applyNumberFormat="1" applyFont="1" applyFill="1" applyBorder="1" applyAlignment="1">
      <alignment horizontal="right" wrapText="1"/>
    </xf>
    <xf numFmtId="0" fontId="3" fillId="12" borderId="2" xfId="0" applyNumberFormat="1" applyFont="1" applyFill="1" applyBorder="1" applyAlignment="1">
      <alignment horizontal="center" vertical="center" wrapText="1"/>
    </xf>
    <xf numFmtId="43" fontId="3" fillId="0" borderId="12" xfId="1" applyFont="1" applyBorder="1" applyAlignment="1">
      <alignment horizontal="right" wrapText="1"/>
    </xf>
    <xf numFmtId="0" fontId="3" fillId="12" borderId="24" xfId="0" applyNumberFormat="1" applyFont="1" applyFill="1" applyBorder="1" applyAlignment="1">
      <alignment horizontal="center" vertical="center" wrapText="1"/>
    </xf>
    <xf numFmtId="168" fontId="3" fillId="0" borderId="12" xfId="0" applyNumberFormat="1" applyFont="1" applyFill="1" applyBorder="1" applyAlignment="1">
      <alignment horizontal="right" wrapText="1"/>
    </xf>
    <xf numFmtId="1" fontId="3" fillId="0" borderId="12" xfId="0" applyNumberFormat="1" applyFont="1" applyFill="1" applyBorder="1" applyAlignment="1">
      <alignment horizontal="center" vertical="center" wrapText="1"/>
    </xf>
    <xf numFmtId="0" fontId="3" fillId="12" borderId="12" xfId="6" applyFont="1" applyFill="1" applyBorder="1" applyAlignment="1">
      <alignment horizontal="center" vertical="center" wrapText="1"/>
    </xf>
    <xf numFmtId="0" fontId="3" fillId="12" borderId="12" xfId="6" applyNumberFormat="1" applyFont="1" applyFill="1" applyBorder="1" applyAlignment="1">
      <alignment horizontal="center" vertical="center" wrapText="1"/>
    </xf>
    <xf numFmtId="0" fontId="3" fillId="12" borderId="2" xfId="6" applyFont="1" applyFill="1" applyBorder="1" applyAlignment="1">
      <alignment horizontal="center" vertical="center" wrapText="1"/>
    </xf>
    <xf numFmtId="0" fontId="3" fillId="12" borderId="2" xfId="6" applyNumberFormat="1" applyFont="1" applyFill="1" applyBorder="1" applyAlignment="1">
      <alignment horizontal="center" vertical="center" wrapText="1"/>
    </xf>
    <xf numFmtId="44" fontId="3" fillId="6" borderId="12" xfId="2" applyFont="1" applyFill="1" applyBorder="1" applyAlignment="1">
      <alignment horizontal="right" wrapText="1"/>
    </xf>
    <xf numFmtId="1" fontId="3" fillId="6" borderId="12" xfId="0" applyNumberFormat="1" applyFont="1" applyFill="1" applyBorder="1" applyAlignment="1">
      <alignment horizontal="center" vertical="center" wrapText="1"/>
    </xf>
    <xf numFmtId="0" fontId="3" fillId="6" borderId="12" xfId="0" applyFont="1" applyFill="1" applyBorder="1" applyAlignment="1" applyProtection="1">
      <alignment horizontal="center" vertical="center" wrapText="1"/>
      <protection locked="0"/>
    </xf>
    <xf numFmtId="14" fontId="3" fillId="6" borderId="12" xfId="0" applyNumberFormat="1" applyFont="1" applyFill="1" applyBorder="1" applyAlignment="1">
      <alignment horizontal="center" vertical="center" wrapText="1"/>
    </xf>
    <xf numFmtId="0" fontId="3" fillId="6" borderId="2" xfId="0" applyFont="1" applyFill="1" applyBorder="1" applyAlignment="1">
      <alignment horizontal="left" wrapText="1"/>
    </xf>
    <xf numFmtId="0" fontId="3" fillId="6" borderId="21" xfId="0" applyFont="1" applyFill="1" applyBorder="1" applyAlignment="1">
      <alignment horizontal="center" vertical="center" wrapText="1"/>
    </xf>
    <xf numFmtId="0" fontId="6" fillId="13" borderId="12" xfId="0" applyFont="1" applyFill="1" applyBorder="1" applyAlignment="1">
      <alignment horizontal="left" wrapText="1"/>
    </xf>
    <xf numFmtId="44" fontId="3" fillId="6" borderId="22" xfId="2" applyFont="1" applyFill="1" applyBorder="1" applyAlignment="1">
      <alignment horizontal="right" wrapText="1"/>
    </xf>
    <xf numFmtId="49" fontId="3" fillId="6" borderId="12" xfId="0" applyNumberFormat="1" applyFont="1" applyFill="1" applyBorder="1" applyAlignment="1">
      <alignment horizontal="center" vertical="center" wrapText="1"/>
    </xf>
    <xf numFmtId="0" fontId="6" fillId="6" borderId="12" xfId="0" applyFont="1" applyFill="1" applyBorder="1" applyAlignment="1">
      <alignment horizontal="left" wrapText="1"/>
    </xf>
    <xf numFmtId="44" fontId="6" fillId="6" borderId="12" xfId="2" applyFont="1" applyFill="1" applyBorder="1" applyAlignment="1">
      <alignment horizontal="right" wrapText="1"/>
    </xf>
    <xf numFmtId="0" fontId="19" fillId="6" borderId="12" xfId="0" applyFont="1" applyFill="1" applyBorder="1" applyAlignment="1">
      <alignment horizontal="left" wrapText="1"/>
    </xf>
    <xf numFmtId="44" fontId="4" fillId="6" borderId="12" xfId="2" applyFont="1" applyFill="1" applyBorder="1" applyAlignment="1">
      <alignment horizontal="right" wrapText="1"/>
    </xf>
    <xf numFmtId="44" fontId="3" fillId="6" borderId="12" xfId="2" applyFont="1" applyFill="1" applyBorder="1" applyAlignment="1" applyProtection="1">
      <alignment horizontal="right" wrapText="1"/>
      <protection locked="0"/>
    </xf>
    <xf numFmtId="0" fontId="3" fillId="6" borderId="12" xfId="0" applyFont="1" applyFill="1" applyBorder="1" applyAlignment="1" applyProtection="1">
      <alignment horizontal="left" wrapText="1"/>
      <protection locked="0"/>
    </xf>
    <xf numFmtId="0" fontId="6" fillId="0" borderId="0" xfId="0" applyFont="1" applyAlignment="1">
      <alignment horizontal="left" wrapText="1"/>
    </xf>
    <xf numFmtId="44" fontId="3" fillId="6" borderId="22" xfId="2" applyFont="1" applyFill="1" applyBorder="1" applyAlignment="1" applyProtection="1">
      <alignment horizontal="right" wrapText="1"/>
      <protection locked="0"/>
    </xf>
    <xf numFmtId="0" fontId="3" fillId="13" borderId="12" xfId="0" applyFont="1" applyFill="1" applyBorder="1" applyAlignment="1">
      <alignment horizontal="left" wrapText="1"/>
    </xf>
    <xf numFmtId="18" fontId="3" fillId="6" borderId="12" xfId="0" applyNumberFormat="1" applyFont="1" applyFill="1" applyBorder="1" applyAlignment="1" applyProtection="1">
      <alignment horizontal="center" vertical="center" wrapText="1"/>
      <protection locked="0"/>
    </xf>
    <xf numFmtId="0" fontId="6" fillId="13" borderId="0" xfId="0" applyFont="1" applyFill="1" applyBorder="1" applyAlignment="1">
      <alignment horizontal="left" wrapText="1"/>
    </xf>
    <xf numFmtId="44" fontId="3" fillId="6" borderId="0" xfId="2" applyFont="1" applyFill="1" applyBorder="1" applyAlignment="1">
      <alignment horizontal="right" wrapText="1"/>
    </xf>
    <xf numFmtId="0" fontId="3" fillId="6" borderId="0" xfId="0" applyFont="1" applyFill="1" applyBorder="1" applyAlignment="1" applyProtection="1">
      <alignment horizontal="center" vertical="center" wrapText="1"/>
      <protection locked="0"/>
    </xf>
    <xf numFmtId="49" fontId="3" fillId="6" borderId="0" xfId="0" applyNumberFormat="1" applyFont="1" applyFill="1" applyBorder="1" applyAlignment="1">
      <alignment horizontal="center" vertical="center" wrapText="1"/>
    </xf>
    <xf numFmtId="44" fontId="3" fillId="0" borderId="22" xfId="2" applyFont="1" applyBorder="1" applyAlignment="1">
      <alignment horizontal="right" wrapText="1"/>
    </xf>
    <xf numFmtId="44" fontId="4" fillId="0" borderId="22" xfId="2" applyFont="1" applyBorder="1" applyAlignment="1">
      <alignment horizontal="right" wrapText="1"/>
    </xf>
    <xf numFmtId="44" fontId="3" fillId="12" borderId="12" xfId="7" applyFont="1" applyFill="1" applyBorder="1" applyAlignment="1">
      <alignment horizontal="center" vertical="center" wrapText="1"/>
    </xf>
    <xf numFmtId="165" fontId="3" fillId="0" borderId="12" xfId="0" applyNumberFormat="1" applyFont="1" applyBorder="1" applyAlignment="1">
      <alignment horizontal="right" wrapText="1"/>
    </xf>
    <xf numFmtId="165" fontId="4" fillId="0" borderId="12" xfId="0" applyNumberFormat="1" applyFont="1" applyBorder="1" applyAlignment="1">
      <alignment horizontal="right" wrapText="1"/>
    </xf>
    <xf numFmtId="165" fontId="3" fillId="0" borderId="0" xfId="0" applyNumberFormat="1" applyFont="1" applyBorder="1" applyAlignment="1">
      <alignment horizontal="right" wrapText="1"/>
    </xf>
    <xf numFmtId="0" fontId="3" fillId="0" borderId="24" xfId="0" applyFont="1" applyBorder="1" applyAlignment="1">
      <alignment horizontal="center" vertical="center" wrapText="1"/>
    </xf>
    <xf numFmtId="165" fontId="3" fillId="0" borderId="22" xfId="0" applyNumberFormat="1" applyFont="1" applyBorder="1" applyAlignment="1">
      <alignment horizontal="right" wrapText="1"/>
    </xf>
    <xf numFmtId="165" fontId="4" fillId="0" borderId="22" xfId="0" applyNumberFormat="1" applyFont="1" applyBorder="1" applyAlignment="1">
      <alignment horizontal="right" wrapText="1"/>
    </xf>
    <xf numFmtId="0" fontId="3" fillId="0" borderId="12" xfId="0" applyFont="1" applyBorder="1" applyAlignment="1">
      <alignment horizontal="center" vertical="center" wrapText="1" shrinkToFit="1"/>
    </xf>
    <xf numFmtId="3" fontId="3" fillId="0" borderId="12" xfId="0" applyNumberFormat="1" applyFont="1" applyBorder="1" applyAlignment="1">
      <alignment horizontal="center" vertical="center" wrapText="1"/>
    </xf>
    <xf numFmtId="165" fontId="3" fillId="0" borderId="0" xfId="0" applyNumberFormat="1" applyFont="1" applyAlignment="1">
      <alignment horizontal="center" vertical="center" wrapText="1"/>
    </xf>
    <xf numFmtId="0" fontId="4" fillId="0" borderId="21" xfId="8" applyFont="1" applyBorder="1" applyAlignment="1">
      <alignment horizontal="center" vertical="center" wrapText="1"/>
    </xf>
    <xf numFmtId="44" fontId="22" fillId="0" borderId="22" xfId="9" applyFont="1" applyFill="1" applyBorder="1" applyAlignment="1">
      <alignment horizontal="right" wrapText="1"/>
    </xf>
    <xf numFmtId="0" fontId="4" fillId="0" borderId="12" xfId="8" applyFont="1" applyBorder="1" applyAlignment="1">
      <alignment horizontal="center" vertical="center" wrapText="1"/>
    </xf>
    <xf numFmtId="4" fontId="3" fillId="0" borderId="0" xfId="0" applyNumberFormat="1" applyFont="1" applyBorder="1" applyAlignment="1">
      <alignment horizontal="right" wrapText="1"/>
    </xf>
    <xf numFmtId="49" fontId="3" fillId="0" borderId="0" xfId="0" applyNumberFormat="1" applyFont="1" applyBorder="1" applyAlignment="1">
      <alignment horizontal="center" vertical="center" wrapText="1"/>
    </xf>
    <xf numFmtId="14" fontId="4" fillId="6" borderId="12" xfId="0" applyNumberFormat="1" applyFont="1" applyFill="1" applyBorder="1" applyAlignment="1">
      <alignment horizontal="center" vertical="center" wrapText="1"/>
    </xf>
    <xf numFmtId="0" fontId="4" fillId="6" borderId="2" xfId="0" applyFont="1" applyFill="1" applyBorder="1" applyAlignment="1">
      <alignment horizontal="left" wrapText="1"/>
    </xf>
    <xf numFmtId="0" fontId="4" fillId="6" borderId="21" xfId="0" applyFont="1" applyFill="1" applyBorder="1" applyAlignment="1">
      <alignment horizontal="center" vertical="center" wrapText="1"/>
    </xf>
    <xf numFmtId="0" fontId="3" fillId="13" borderId="12" xfId="0" applyFont="1" applyFill="1" applyBorder="1" applyAlignment="1">
      <alignment vertical="center" wrapText="1"/>
    </xf>
    <xf numFmtId="44" fontId="4" fillId="6" borderId="22" xfId="2" applyFont="1" applyFill="1" applyBorder="1" applyAlignment="1">
      <alignment horizontal="right" wrapText="1"/>
    </xf>
    <xf numFmtId="0" fontId="23" fillId="0" borderId="12" xfId="0" applyFont="1" applyBorder="1" applyAlignment="1">
      <alignment horizontal="center" vertical="center" wrapText="1"/>
    </xf>
    <xf numFmtId="0" fontId="23" fillId="0" borderId="12" xfId="0" applyFont="1" applyBorder="1" applyAlignment="1">
      <alignment horizontal="left" wrapText="1"/>
    </xf>
    <xf numFmtId="44" fontId="23" fillId="0" borderId="0" xfId="2" applyFont="1" applyAlignment="1">
      <alignment horizontal="right" wrapText="1"/>
    </xf>
    <xf numFmtId="44" fontId="23" fillId="0" borderId="22" xfId="2" applyFont="1" applyBorder="1" applyAlignment="1">
      <alignment horizontal="right" wrapText="1"/>
    </xf>
    <xf numFmtId="0" fontId="3" fillId="0" borderId="2" xfId="0" applyFont="1" applyBorder="1" applyAlignment="1">
      <alignment horizontal="left" wrapText="1"/>
    </xf>
    <xf numFmtId="0" fontId="6" fillId="0" borderId="12" xfId="0" applyFont="1" applyBorder="1" applyAlignment="1">
      <alignment vertical="center" wrapText="1"/>
    </xf>
    <xf numFmtId="0" fontId="6" fillId="6" borderId="2" xfId="0" applyFont="1" applyFill="1" applyBorder="1" applyAlignment="1">
      <alignment horizontal="left" wrapText="1"/>
    </xf>
    <xf numFmtId="0" fontId="6" fillId="13" borderId="12" xfId="0" applyFont="1" applyFill="1" applyBorder="1" applyAlignment="1">
      <alignment vertical="center" wrapText="1"/>
    </xf>
    <xf numFmtId="169" fontId="3" fillId="0" borderId="12" xfId="10" applyNumberFormat="1" applyFont="1" applyBorder="1" applyAlignment="1">
      <alignment horizontal="center" vertical="center" wrapText="1"/>
    </xf>
    <xf numFmtId="0" fontId="2" fillId="0" borderId="0" xfId="0" applyFont="1" applyAlignment="1">
      <alignment horizontal="center"/>
    </xf>
    <xf numFmtId="0" fontId="24" fillId="0" borderId="0" xfId="0" applyFont="1"/>
    <xf numFmtId="4" fontId="3" fillId="0" borderId="0" xfId="0" applyNumberFormat="1" applyFont="1" applyAlignment="1">
      <alignment horizontal="right"/>
    </xf>
    <xf numFmtId="0" fontId="2" fillId="14" borderId="25" xfId="0" applyFont="1" applyFill="1" applyBorder="1" applyAlignment="1">
      <alignment horizontal="center"/>
    </xf>
    <xf numFmtId="0" fontId="2" fillId="14" borderId="26" xfId="0" applyFont="1" applyFill="1" applyBorder="1" applyAlignment="1">
      <alignment horizontal="center" vertical="center"/>
    </xf>
    <xf numFmtId="4" fontId="2" fillId="14" borderId="26" xfId="0" applyNumberFormat="1" applyFont="1" applyFill="1" applyBorder="1" applyAlignment="1">
      <alignment horizontal="right" vertical="center"/>
    </xf>
    <xf numFmtId="0" fontId="2" fillId="14" borderId="27" xfId="0" applyFont="1" applyFill="1" applyBorder="1" applyAlignment="1">
      <alignment horizontal="center" vertical="center"/>
    </xf>
    <xf numFmtId="1" fontId="3" fillId="0" borderId="12" xfId="0" applyNumberFormat="1" applyFont="1" applyBorder="1" applyAlignment="1">
      <alignment horizontal="center"/>
    </xf>
    <xf numFmtId="10" fontId="3" fillId="0" borderId="12" xfId="0" applyNumberFormat="1" applyFont="1" applyBorder="1" applyAlignment="1">
      <alignment horizontal="center"/>
    </xf>
    <xf numFmtId="165" fontId="24" fillId="0" borderId="0" xfId="0" applyNumberFormat="1" applyFont="1" applyAlignment="1">
      <alignment horizontal="right"/>
    </xf>
    <xf numFmtId="10" fontId="3" fillId="0" borderId="12" xfId="0" applyNumberFormat="1" applyFont="1" applyBorder="1" applyAlignment="1">
      <alignment horizontal="center" vertical="center"/>
    </xf>
    <xf numFmtId="165" fontId="3" fillId="0" borderId="12" xfId="0" applyNumberFormat="1" applyFont="1" applyBorder="1" applyAlignment="1">
      <alignment horizontal="right"/>
    </xf>
    <xf numFmtId="3" fontId="3" fillId="0" borderId="12" xfId="0" applyNumberFormat="1" applyFont="1" applyBorder="1" applyAlignment="1">
      <alignment horizontal="center"/>
    </xf>
    <xf numFmtId="165" fontId="3" fillId="0" borderId="0" xfId="0" applyNumberFormat="1" applyFont="1" applyAlignment="1">
      <alignment horizontal="right"/>
    </xf>
    <xf numFmtId="4" fontId="25" fillId="0" borderId="0" xfId="0" applyNumberFormat="1" applyFont="1" applyAlignment="1">
      <alignment horizontal="center" vertical="center"/>
    </xf>
    <xf numFmtId="165" fontId="3" fillId="0" borderId="0" xfId="0" applyNumberFormat="1" applyFont="1" applyAlignment="1">
      <alignment horizontal="right" wrapText="1"/>
    </xf>
    <xf numFmtId="0" fontId="2" fillId="11" borderId="28" xfId="0" applyFont="1" applyFill="1" applyBorder="1" applyAlignment="1">
      <alignment horizontal="center"/>
    </xf>
    <xf numFmtId="1" fontId="2" fillId="11" borderId="29" xfId="0" applyNumberFormat="1" applyFont="1" applyFill="1" applyBorder="1" applyAlignment="1">
      <alignment horizontal="center"/>
    </xf>
    <xf numFmtId="10" fontId="2" fillId="11" borderId="29" xfId="0" applyNumberFormat="1" applyFont="1" applyFill="1" applyBorder="1" applyAlignment="1">
      <alignment horizontal="center"/>
    </xf>
    <xf numFmtId="165" fontId="2" fillId="11" borderId="30" xfId="0" applyNumberFormat="1" applyFont="1" applyFill="1" applyBorder="1" applyAlignment="1">
      <alignment horizontal="right"/>
    </xf>
    <xf numFmtId="10" fontId="2" fillId="11" borderId="31" xfId="0" applyNumberFormat="1" applyFont="1" applyFill="1" applyBorder="1" applyAlignment="1">
      <alignment horizontal="center" vertical="center"/>
    </xf>
    <xf numFmtId="4" fontId="0" fillId="0" borderId="0" xfId="0" applyNumberFormat="1" applyAlignment="1">
      <alignment horizontal="right"/>
    </xf>
    <xf numFmtId="0" fontId="2" fillId="0" borderId="0" xfId="0" applyFont="1" applyAlignment="1">
      <alignment horizontal="center" wrapText="1"/>
    </xf>
    <xf numFmtId="0" fontId="2" fillId="11" borderId="12" xfId="0" applyFont="1" applyFill="1" applyBorder="1" applyAlignment="1">
      <alignment horizontal="center" wrapText="1"/>
    </xf>
    <xf numFmtId="4" fontId="2" fillId="11" borderId="12" xfId="0" applyNumberFormat="1" applyFont="1" applyFill="1" applyBorder="1" applyAlignment="1">
      <alignment horizontal="right"/>
    </xf>
    <xf numFmtId="0" fontId="2" fillId="11" borderId="12" xfId="0" applyFont="1" applyFill="1" applyBorder="1" applyAlignment="1">
      <alignment horizontal="center"/>
    </xf>
    <xf numFmtId="165" fontId="3" fillId="6" borderId="0" xfId="9" applyNumberFormat="1" applyFont="1" applyFill="1" applyBorder="1" applyAlignment="1">
      <alignment horizontal="right"/>
    </xf>
    <xf numFmtId="10" fontId="3" fillId="0" borderId="12" xfId="0" applyNumberFormat="1" applyFont="1" applyBorder="1" applyAlignment="1"/>
    <xf numFmtId="0" fontId="2" fillId="0" borderId="12" xfId="0" applyFont="1" applyBorder="1" applyAlignment="1">
      <alignment wrapText="1"/>
    </xf>
    <xf numFmtId="4" fontId="2" fillId="0" borderId="12" xfId="0" applyNumberFormat="1" applyFont="1" applyBorder="1" applyAlignment="1">
      <alignment horizontal="right"/>
    </xf>
    <xf numFmtId="10" fontId="2" fillId="0" borderId="12" xfId="0" applyNumberFormat="1" applyFont="1" applyBorder="1" applyAlignment="1"/>
    <xf numFmtId="0" fontId="0" fillId="0" borderId="0" xfId="0" applyAlignment="1">
      <alignment wrapText="1"/>
    </xf>
  </cellXfs>
  <cellStyles count="11">
    <cellStyle name="20% - Énfasis1" xfId="4" builtinId="30"/>
    <cellStyle name="20% - Énfasis2" xfId="5" builtinId="34"/>
    <cellStyle name="Millares" xfId="1" builtinId="3"/>
    <cellStyle name="Millares 2" xfId="10" xr:uid="{5201CC78-054F-477E-BDC6-D49D2838EF8A}"/>
    <cellStyle name="Moneda" xfId="2" builtinId="4"/>
    <cellStyle name="Moneda 2" xfId="7" xr:uid="{B8FA4121-080D-41A7-9823-435364A08B70}"/>
    <cellStyle name="Moneda 3" xfId="9" xr:uid="{CBD38EFE-8DCF-4AA6-9D9D-E1702DC49EFF}"/>
    <cellStyle name="Normal" xfId="0" builtinId="0"/>
    <cellStyle name="Normal 2" xfId="8" xr:uid="{0D1C8236-2903-45D1-8949-E03AFE5AB341}"/>
    <cellStyle name="Normal 3" xfId="6" xr:uid="{7365892F-986E-4D95-9D56-1FCB0D8D701D}"/>
    <cellStyle name="Porcentaje" xfId="3" builtinId="5"/>
  </cellStyles>
  <dxfs count="17">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PLAN DE CONTRACIÓN 2026</a:t>
            </a:r>
          </a:p>
        </c:rich>
      </c:tx>
      <c:layout>
        <c:manualLayout>
          <c:xMode val="edge"/>
          <c:yMode val="edge"/>
          <c:x val="0.17980468177518424"/>
          <c:y val="5.5107686386452213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ES"/>
        </a:p>
      </c:txPr>
    </c:title>
    <c:autoTitleDeleted val="0"/>
    <c:plotArea>
      <c:layout/>
      <c:pieChart>
        <c:varyColors val="1"/>
        <c:ser>
          <c:idx val="0"/>
          <c:order val="0"/>
          <c:tx>
            <c:v>PLAN DE CONTRATACIÓN 2026</c:v>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D80B-40CD-9097-A225A1114747}"/>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D80B-40CD-9097-A225A1114747}"/>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D80B-40CD-9097-A225A1114747}"/>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D80B-40CD-9097-A225A1114747}"/>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D80B-40CD-9097-A225A1114747}"/>
              </c:ext>
            </c:extLst>
          </c:dPt>
          <c:dLbls>
            <c:dLbl>
              <c:idx val="0"/>
              <c:layout>
                <c:manualLayout>
                  <c:x val="5.9742089084830169E-2"/>
                  <c:y val="9.4248173153508558E-2"/>
                </c:manualLayout>
              </c:layout>
              <c:dLblPos val="bestFit"/>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80B-40CD-9097-A225A1114747}"/>
                </c:ext>
              </c:extLst>
            </c:dLbl>
            <c:dLbl>
              <c:idx val="1"/>
              <c:layout>
                <c:manualLayout>
                  <c:x val="-0.14072942135289324"/>
                  <c:y val="-5.347862576241106E-2"/>
                </c:manualLayout>
              </c:layout>
              <c:dLblPos val="bestFit"/>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80B-40CD-9097-A225A1114747}"/>
                </c:ext>
              </c:extLst>
            </c:dLbl>
            <c:dLbl>
              <c:idx val="2"/>
              <c:layout>
                <c:manualLayout>
                  <c:x val="1.8337408312958436E-2"/>
                  <c:y val="3.2217446851730093E-2"/>
                </c:manualLayout>
              </c:layout>
              <c:dLblPos val="bestFit"/>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80B-40CD-9097-A225A1114747}"/>
                </c:ext>
              </c:extLst>
            </c:dLbl>
            <c:dLbl>
              <c:idx val="3"/>
              <c:layout>
                <c:manualLayout>
                  <c:x val="-0.1710440065550182"/>
                  <c:y val="1.8907794366844612E-2"/>
                </c:manualLayout>
              </c:layout>
              <c:dLblPos val="bestFit"/>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80B-40CD-9097-A225A1114747}"/>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1"/>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[1]Gráfico!$B$5:$B$9</c:f>
              <c:strCache>
                <c:ptCount val="5"/>
                <c:pt idx="0">
                  <c:v>Acción Social</c:v>
                </c:pt>
                <c:pt idx="1">
                  <c:v>Medio Ambiente</c:v>
                </c:pt>
                <c:pt idx="2">
                  <c:v>Empleo, Economía e Innovación</c:v>
                </c:pt>
                <c:pt idx="3">
                  <c:v>Cultura, Educación, Turismo, Deporte y Juventud</c:v>
                </c:pt>
                <c:pt idx="4">
                  <c:v>Otros Servicios Públicos</c:v>
                </c:pt>
              </c:strCache>
            </c:strRef>
          </c:cat>
          <c:val>
            <c:numRef>
              <c:f>[1]Gráfico!$C$5:$C$9</c:f>
              <c:numCache>
                <c:formatCode>General</c:formatCode>
                <c:ptCount val="5"/>
                <c:pt idx="0">
                  <c:v>1701876.31</c:v>
                </c:pt>
                <c:pt idx="1">
                  <c:v>124507243.00000001</c:v>
                </c:pt>
                <c:pt idx="2">
                  <c:v>8939348.9971074369</c:v>
                </c:pt>
                <c:pt idx="3">
                  <c:v>17553253.358925622</c:v>
                </c:pt>
                <c:pt idx="4">
                  <c:v>34733099.409999996</c:v>
                </c:pt>
              </c:numCache>
            </c:numRef>
          </c:val>
          <c:extLst>
            <c:ext xmlns:c16="http://schemas.microsoft.com/office/drawing/2014/chart" uri="{C3380CC4-5D6E-409C-BE32-E72D297353CC}">
              <c16:uniqueId val="{0000000A-D80B-40CD-9097-A225A1114747}"/>
            </c:ext>
          </c:extLst>
        </c:ser>
        <c:ser>
          <c:idx val="1"/>
          <c:order val="1"/>
          <c:tx>
            <c:strRef>
              <c:f>[1]Gráfico!$B$5:$B$9</c:f>
              <c:strCache>
                <c:ptCount val="1"/>
                <c:pt idx="0">
                  <c:v>Acción Social Medio Ambiente Empleo, Economía e Innovación Cultura, Educación, Turismo, Deporte y Juventud Otros Servicios Públicos</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C-D80B-40CD-9097-A225A1114747}"/>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E-D80B-40CD-9097-A225A1114747}"/>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0-D80B-40CD-9097-A225A1114747}"/>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2-D80B-40CD-9097-A225A1114747}"/>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4-D80B-40CD-9097-A225A1114747}"/>
              </c:ext>
            </c:extLst>
          </c:dPt>
          <c:dLbls>
            <c:spPr>
              <a:pattFill prst="pct75">
                <a:fgClr>
                  <a:sysClr val="windowText" lastClr="000000">
                    <a:lumMod val="75000"/>
                    <a:lumOff val="25000"/>
                  </a:sysClr>
                </a:fgClr>
                <a:bgClr>
                  <a:sysClr val="windowText" lastClr="000000">
                    <a:lumMod val="65000"/>
                    <a:lumOff val="35000"/>
                  </a:sys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[1]Gráfico!$B$5:$B$9</c:f>
              <c:strCache>
                <c:ptCount val="5"/>
                <c:pt idx="0">
                  <c:v>Acción Social</c:v>
                </c:pt>
                <c:pt idx="1">
                  <c:v>Medio Ambiente</c:v>
                </c:pt>
                <c:pt idx="2">
                  <c:v>Empleo, Economía e Innovación</c:v>
                </c:pt>
                <c:pt idx="3">
                  <c:v>Cultura, Educación, Turismo, Deporte y Juventud</c:v>
                </c:pt>
                <c:pt idx="4">
                  <c:v>Otros Servicios Públicos</c:v>
                </c:pt>
              </c:strCache>
            </c:strRef>
          </c:cat>
          <c:val>
            <c:numRef>
              <c:f>[1]Gráfico!$D$5:$D$9</c:f>
              <c:numCache>
                <c:formatCode>General</c:formatCode>
                <c:ptCount val="5"/>
                <c:pt idx="0">
                  <c:v>9.0798299922597251E-3</c:v>
                </c:pt>
                <c:pt idx="1">
                  <c:v>0.66426954332831023</c:v>
                </c:pt>
                <c:pt idx="2">
                  <c:v>4.7693107106716232E-2</c:v>
                </c:pt>
                <c:pt idx="3">
                  <c:v>9.3649905914788015E-2</c:v>
                </c:pt>
                <c:pt idx="4">
                  <c:v>0.18530761365792589</c:v>
                </c:pt>
              </c:numCache>
            </c:numRef>
          </c:val>
          <c:extLst>
            <c:ext xmlns:c16="http://schemas.microsoft.com/office/drawing/2014/chart" uri="{C3380CC4-5D6E-409C-BE32-E72D297353CC}">
              <c16:uniqueId val="{00000015-D80B-40CD-9097-A225A1114747}"/>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ES"/>
        </a:p>
      </c:txPr>
    </c:legend>
    <c:plotVisOnly val="0"/>
    <c:dispBlanksAs val="gap"/>
    <c:showDLblsOverMax val="0"/>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s-ES"/>
              <a:t>REPARTO CONTRATOS ENTES DEPENDIENTES 2026</a:t>
            </a:r>
          </a:p>
        </c:rich>
      </c:tx>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0.21791490053579463"/>
          <c:y val="0.11732261495408529"/>
          <c:w val="0.56417019892841069"/>
          <c:h val="0.81022319470273019"/>
        </c:manualLayout>
      </c:layout>
      <c:pieChart>
        <c:varyColors val="1"/>
        <c:ser>
          <c:idx val="0"/>
          <c:order val="0"/>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075F-41BA-AF63-664D9198452C}"/>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075F-41BA-AF63-664D9198452C}"/>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075F-41BA-AF63-664D9198452C}"/>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075F-41BA-AF63-664D9198452C}"/>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075F-41BA-AF63-664D9198452C}"/>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075F-41BA-AF63-664D9198452C}"/>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075F-41BA-AF63-664D9198452C}"/>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075F-41BA-AF63-664D9198452C}"/>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075F-41BA-AF63-664D9198452C}"/>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075F-41BA-AF63-664D9198452C}"/>
              </c:ext>
            </c:extLst>
          </c:dPt>
          <c:dPt>
            <c:idx val="10"/>
            <c:bubble3D val="0"/>
            <c:spPr>
              <a:solidFill>
                <a:schemeClr val="accent5">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5-075F-41BA-AF63-664D9198452C}"/>
              </c:ext>
            </c:extLst>
          </c:dPt>
          <c:dPt>
            <c:idx val="11"/>
            <c:bubble3D val="0"/>
            <c:spPr>
              <a:solidFill>
                <a:schemeClr val="accent6">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7-075F-41BA-AF63-664D9198452C}"/>
              </c:ext>
            </c:extLst>
          </c:dPt>
          <c:dPt>
            <c:idx val="12"/>
            <c:bubble3D val="0"/>
            <c:spPr>
              <a:solidFill>
                <a:schemeClr val="accent1">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9-075F-41BA-AF63-664D9198452C}"/>
              </c:ext>
            </c:extLst>
          </c:dPt>
          <c:dPt>
            <c:idx val="13"/>
            <c:bubble3D val="0"/>
            <c:spPr>
              <a:solidFill>
                <a:schemeClr val="accent2">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B-075F-41BA-AF63-664D9198452C}"/>
              </c:ext>
            </c:extLst>
          </c:dPt>
          <c:dPt>
            <c:idx val="14"/>
            <c:bubble3D val="0"/>
            <c:spPr>
              <a:solidFill>
                <a:schemeClr val="accent3">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D-075F-41BA-AF63-664D9198452C}"/>
              </c:ext>
            </c:extLst>
          </c:dPt>
          <c:dPt>
            <c:idx val="15"/>
            <c:bubble3D val="0"/>
            <c:spPr>
              <a:solidFill>
                <a:schemeClr val="accent4">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F-075F-41BA-AF63-664D9198452C}"/>
              </c:ext>
            </c:extLst>
          </c:dPt>
          <c:dPt>
            <c:idx val="16"/>
            <c:bubble3D val="0"/>
            <c:spPr>
              <a:solidFill>
                <a:schemeClr val="accent5">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1-075F-41BA-AF63-664D9198452C}"/>
              </c:ext>
            </c:extLst>
          </c:dPt>
          <c:dPt>
            <c:idx val="17"/>
            <c:bubble3D val="0"/>
            <c:spPr>
              <a:solidFill>
                <a:schemeClr val="accent6">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3-075F-41BA-AF63-664D9198452C}"/>
              </c:ext>
            </c:extLst>
          </c:dPt>
          <c:dPt>
            <c:idx val="18"/>
            <c:bubble3D val="0"/>
            <c:spPr>
              <a:solidFill>
                <a:schemeClr val="accent1">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5-075F-41BA-AF63-664D9198452C}"/>
              </c:ext>
            </c:extLst>
          </c:dPt>
          <c:dPt>
            <c:idx val="19"/>
            <c:bubble3D val="0"/>
            <c:spPr>
              <a:solidFill>
                <a:schemeClr val="accent2">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7-075F-41BA-AF63-664D9198452C}"/>
              </c:ext>
            </c:extLst>
          </c:dPt>
          <c:dPt>
            <c:idx val="20"/>
            <c:bubble3D val="0"/>
            <c:spPr>
              <a:solidFill>
                <a:schemeClr val="accent3">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9-075F-41BA-AF63-664D9198452C}"/>
              </c:ext>
            </c:extLst>
          </c:dPt>
          <c:dLbls>
            <c:dLbl>
              <c:idx val="0"/>
              <c:layout>
                <c:manualLayout>
                  <c:x val="9.6042228330944172E-3"/>
                  <c:y val="-2.068940575356626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75F-41BA-AF63-664D9198452C}"/>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outEnd"/>
              <c:showLegendKey val="0"/>
              <c:showVal val="0"/>
              <c:showCatName val="1"/>
              <c:showSerName val="0"/>
              <c:showPercent val="0"/>
              <c:showBubbleSize val="0"/>
              <c:extLst>
                <c:ext xmlns:c16="http://schemas.microsoft.com/office/drawing/2014/chart" uri="{C3380CC4-5D6E-409C-BE32-E72D297353CC}">
                  <c16:uniqueId val="{00000003-075F-41BA-AF63-664D9198452C}"/>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outEnd"/>
              <c:showLegendKey val="0"/>
              <c:showVal val="0"/>
              <c:showCatName val="1"/>
              <c:showSerName val="0"/>
              <c:showPercent val="0"/>
              <c:showBubbleSize val="0"/>
              <c:extLst>
                <c:ext xmlns:c16="http://schemas.microsoft.com/office/drawing/2014/chart" uri="{C3380CC4-5D6E-409C-BE32-E72D297353CC}">
                  <c16:uniqueId val="{00000005-075F-41BA-AF63-664D9198452C}"/>
                </c:ext>
              </c:extLst>
            </c:dLbl>
            <c:dLbl>
              <c:idx val="3"/>
              <c:layout>
                <c:manualLayout>
                  <c:x val="0"/>
                  <c:y val="-1.502252535507938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75F-41BA-AF63-664D9198452C}"/>
                </c:ext>
              </c:extLst>
            </c:dLbl>
            <c:dLbl>
              <c:idx val="4"/>
              <c:layout>
                <c:manualLayout>
                  <c:x val="-0.16423221044591579"/>
                  <c:y val="4.689598637474998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75F-41BA-AF63-664D9198452C}"/>
                </c:ext>
              </c:extLst>
            </c:dLbl>
            <c:dLbl>
              <c:idx val="5"/>
              <c:layout>
                <c:manualLayout>
                  <c:x val="2.3108516374443694E-2"/>
                  <c:y val="6.667190870682959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75F-41BA-AF63-664D9198452C}"/>
                </c:ext>
              </c:extLst>
            </c:dLbl>
            <c:dLbl>
              <c:idx val="6"/>
              <c:layout>
                <c:manualLayout>
                  <c:x val="4.8021114165472086E-3"/>
                  <c:y val="-2.2356504852344434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75F-41BA-AF63-664D9198452C}"/>
                </c:ext>
              </c:extLst>
            </c:dLbl>
            <c:dLbl>
              <c:idx val="7"/>
              <c:layout>
                <c:manualLayout>
                  <c:x val="-1.0564645116403938E-2"/>
                  <c:y val="-8.275762301426606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75F-41BA-AF63-664D9198452C}"/>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outEnd"/>
              <c:showLegendKey val="0"/>
              <c:showVal val="0"/>
              <c:showCatName val="1"/>
              <c:showSerName val="0"/>
              <c:showPercent val="0"/>
              <c:showBubbleSize val="0"/>
              <c:extLst>
                <c:ext xmlns:c16="http://schemas.microsoft.com/office/drawing/2014/chart" uri="{C3380CC4-5D6E-409C-BE32-E72D297353CC}">
                  <c16:uniqueId val="{00000011-075F-41BA-AF63-664D9198452C}"/>
                </c:ext>
              </c:extLst>
            </c:dLbl>
            <c:dLbl>
              <c:idx val="9"/>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outEnd"/>
              <c:showLegendKey val="0"/>
              <c:showVal val="0"/>
              <c:showCatName val="1"/>
              <c:showSerName val="0"/>
              <c:showPercent val="0"/>
              <c:showBubbleSize val="0"/>
              <c:extLst>
                <c:ext xmlns:c16="http://schemas.microsoft.com/office/drawing/2014/chart" uri="{C3380CC4-5D6E-409C-BE32-E72D297353CC}">
                  <c16:uniqueId val="{00000013-075F-41BA-AF63-664D9198452C}"/>
                </c:ext>
              </c:extLst>
            </c:dLbl>
            <c:dLbl>
              <c:idx val="10"/>
              <c:layout>
                <c:manualLayout>
                  <c:x val="9.6042228330944536E-3"/>
                  <c:y val="2.068940575356626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es-ES"/>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5-075F-41BA-AF63-664D9198452C}"/>
                </c:ext>
              </c:extLst>
            </c:dLbl>
            <c:dLbl>
              <c:idx val="11"/>
              <c:layout>
                <c:manualLayout>
                  <c:x val="-0.16423221044591574"/>
                  <c:y val="5.655104239308111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schemeClr>
                      </a:solidFill>
                      <a:latin typeface="+mn-lt"/>
                      <a:ea typeface="+mn-ea"/>
                      <a:cs typeface="+mn-cs"/>
                    </a:defRPr>
                  </a:pPr>
                  <a:endParaRPr lang="es-ES"/>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7-075F-41BA-AF63-664D9198452C}"/>
                </c:ext>
              </c:extLst>
            </c:dLbl>
            <c:dLbl>
              <c:idx val="12"/>
              <c:layout>
                <c:manualLayout>
                  <c:x val="-0.17575727784562917"/>
                  <c:y val="8.0835300274957318E-4"/>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lumOff val="20000"/>
                        </a:schemeClr>
                      </a:solidFill>
                      <a:latin typeface="+mn-lt"/>
                      <a:ea typeface="+mn-ea"/>
                      <a:cs typeface="+mn-cs"/>
                    </a:defRPr>
                  </a:pPr>
                  <a:endParaRPr lang="es-ES"/>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9-075F-41BA-AF63-664D9198452C}"/>
                </c:ext>
              </c:extLst>
            </c:dLbl>
            <c:dLbl>
              <c:idx val="13"/>
              <c:layout>
                <c:manualLayout>
                  <c:x val="9.7989094045303053E-4"/>
                  <c:y val="-1.454424156309056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80000"/>
                          <a:lumOff val="20000"/>
                        </a:schemeClr>
                      </a:solidFill>
                      <a:latin typeface="+mn-lt"/>
                      <a:ea typeface="+mn-ea"/>
                      <a:cs typeface="+mn-cs"/>
                    </a:defRPr>
                  </a:pPr>
                  <a:endParaRPr lang="es-ES"/>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B-075F-41BA-AF63-664D9198452C}"/>
                </c:ext>
              </c:extLst>
            </c:dLbl>
            <c:dLbl>
              <c:idx val="14"/>
              <c:layout>
                <c:manualLayout>
                  <c:x val="-0.19177296222212981"/>
                  <c:y val="-3.173287837637797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lumOff val="20000"/>
                        </a:schemeClr>
                      </a:solidFill>
                      <a:latin typeface="+mn-lt"/>
                      <a:ea typeface="+mn-ea"/>
                      <a:cs typeface="+mn-cs"/>
                    </a:defRPr>
                  </a:pPr>
                  <a:endParaRPr lang="es-ES"/>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D-075F-41BA-AF63-664D9198452C}"/>
                </c:ext>
              </c:extLst>
            </c:dLbl>
            <c:dLbl>
              <c:idx val="15"/>
              <c:layout>
                <c:manualLayout>
                  <c:x val="-1.7287601099570112E-2"/>
                  <c:y val="-4.689598637475020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80000"/>
                          <a:lumOff val="20000"/>
                        </a:schemeClr>
                      </a:solidFill>
                      <a:latin typeface="+mn-lt"/>
                      <a:ea typeface="+mn-ea"/>
                      <a:cs typeface="+mn-cs"/>
                    </a:defRPr>
                  </a:pPr>
                  <a:endParaRPr lang="es-ES"/>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F-075F-41BA-AF63-664D9198452C}"/>
                </c:ext>
              </c:extLst>
            </c:dLbl>
            <c:dLbl>
              <c:idx val="16"/>
              <c:layout>
                <c:manualLayout>
                  <c:x val="-0.2064907909115315"/>
                  <c:y val="3.586163663951482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lumOff val="20000"/>
                        </a:schemeClr>
                      </a:solidFill>
                      <a:latin typeface="+mn-lt"/>
                      <a:ea typeface="+mn-ea"/>
                      <a:cs typeface="+mn-cs"/>
                    </a:defRPr>
                  </a:pPr>
                  <a:endParaRPr lang="es-ES"/>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1-075F-41BA-AF63-664D9198452C}"/>
                </c:ext>
              </c:extLst>
            </c:dLbl>
            <c:dLbl>
              <c:idx val="17"/>
              <c:layout>
                <c:manualLayout>
                  <c:x val="-0.14694460934634565"/>
                  <c:y val="-4.2187164509882108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80000"/>
                          <a:lumOff val="20000"/>
                        </a:schemeClr>
                      </a:solidFill>
                      <a:latin typeface="+mn-lt"/>
                      <a:ea typeface="+mn-ea"/>
                      <a:cs typeface="+mn-cs"/>
                    </a:defRPr>
                  </a:pPr>
                  <a:endParaRPr lang="es-ES"/>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3-075F-41BA-AF63-664D9198452C}"/>
                </c:ext>
              </c:extLst>
            </c:dLbl>
            <c:dLbl>
              <c:idx val="18"/>
              <c:layout>
                <c:manualLayout>
                  <c:x val="-4.3926312167491634E-2"/>
                  <c:y val="2.2877052473220253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schemeClr>
                      </a:solidFill>
                      <a:latin typeface="+mn-lt"/>
                      <a:ea typeface="+mn-ea"/>
                      <a:cs typeface="+mn-cs"/>
                    </a:defRPr>
                  </a:pPr>
                  <a:endParaRPr lang="es-ES"/>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5-075F-41BA-AF63-664D9198452C}"/>
                </c:ext>
              </c:extLst>
            </c:dLbl>
            <c:dLbl>
              <c:idx val="19"/>
              <c:layout>
                <c:manualLayout>
                  <c:x val="2.5989783224372037E-2"/>
                  <c:y val="-4.023703868462731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80000"/>
                        </a:schemeClr>
                      </a:solidFill>
                      <a:latin typeface="+mn-lt"/>
                      <a:ea typeface="+mn-ea"/>
                      <a:cs typeface="+mn-cs"/>
                    </a:defRPr>
                  </a:pPr>
                  <a:endParaRPr lang="es-ES"/>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7-075F-41BA-AF63-664D9198452C}"/>
                </c:ext>
              </c:extLst>
            </c:dLbl>
            <c:dLbl>
              <c:idx val="20"/>
              <c:layout>
                <c:manualLayout>
                  <c:x val="8.6438005497850388E-3"/>
                  <c:y val="-5.5171748676176822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schemeClr>
                      </a:solidFill>
                      <a:latin typeface="+mn-lt"/>
                      <a:ea typeface="+mn-ea"/>
                      <a:cs typeface="+mn-cs"/>
                    </a:defRPr>
                  </a:pPr>
                  <a:endParaRPr lang="es-ES"/>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9-075F-41BA-AF63-664D9198452C}"/>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[8]gráfico!$B$4:$B$24</c:f>
              <c:strCache>
                <c:ptCount val="21"/>
                <c:pt idx="0">
                  <c:v>Organismo autónomo Gestión Tributaria (GESTRISAM)</c:v>
                </c:pt>
                <c:pt idx="1">
                  <c:v>Organismo autónomo Gerencia Municipal de Urbanismo (GMU)</c:v>
                </c:pt>
                <c:pt idx="2">
                  <c:v>Organismo autónomo Instituto Municipal de la Vivienda (IMV)</c:v>
                </c:pt>
                <c:pt idx="3">
                  <c:v>Agencia pública para la gestión de la Casa natal de Pablo Ruiz Picasso y otros equipamientos museísticos y culturales</c:v>
                </c:pt>
                <c:pt idx="4">
                  <c:v>Instituto Municipal para la Formación y el Empleo (IMFE)</c:v>
                </c:pt>
                <c:pt idx="5">
                  <c:v>Empresa Municipal Gestión de Medios de Comunicación de Málaga, S.A.</c:v>
                </c:pt>
                <c:pt idx="6">
                  <c:v>Viviendas Málaga, S.L.</c:v>
                </c:pt>
                <c:pt idx="7">
                  <c:v>Teatro Cervantes de Málaga, S.A.</c:v>
                </c:pt>
                <c:pt idx="8">
                  <c:v>Empresa Municipal de Aguas de Málaga, S.A. (EMASA)</c:v>
                </c:pt>
                <c:pt idx="9">
                  <c:v>Empresa Malagueña de Transportes, S.A.M. (EMTSAM)</c:v>
                </c:pt>
                <c:pt idx="10">
                  <c:v>Parque Cementerio de Málaga, S.A.</c:v>
                </c:pt>
                <c:pt idx="11">
                  <c:v>Empresa Municipal Iniciativas y Actividades Málaga, S.A. (PROMALAGA)</c:v>
                </c:pt>
                <c:pt idx="12">
                  <c:v>Empresa Limpiezas Municipales y Parque del Oeste, S.A.M. (LIMPOSAM)</c:v>
                </c:pt>
                <c:pt idx="13">
                  <c:v>Más Cerca, S.A.M.</c:v>
                </c:pt>
                <c:pt idx="14">
                  <c:v>Málaga Deportes y Eventos, S.A.</c:v>
                </c:pt>
                <c:pt idx="15">
                  <c:v>Municipal Aparcamientos y Servicios, S.A. (SMASSA)</c:v>
                </c:pt>
                <c:pt idx="16">
                  <c:v>Fundación Félix Revello de Toro</c:v>
                </c:pt>
                <c:pt idx="17">
                  <c:v>Fundación Pública Palacio Villalón</c:v>
                </c:pt>
                <c:pt idx="18">
                  <c:v>Fundación Municipal Rafael Pérez Estrada</c:v>
                </c:pt>
                <c:pt idx="19">
                  <c:v>Orquesta Ciudad de Málaga</c:v>
                </c:pt>
                <c:pt idx="20">
                  <c:v>Limpiezas de Málaga, S.A.M. (LIMASAM)</c:v>
                </c:pt>
              </c:strCache>
            </c:strRef>
          </c:cat>
          <c:val>
            <c:numRef>
              <c:f>[8]gráfico!$C$4:$C$24</c:f>
              <c:numCache>
                <c:formatCode>#,##0.00\ "€"</c:formatCode>
                <c:ptCount val="21"/>
                <c:pt idx="0">
                  <c:v>8447484.8399999999</c:v>
                </c:pt>
                <c:pt idx="1">
                  <c:v>356447511.26504141</c:v>
                </c:pt>
                <c:pt idx="2">
                  <c:v>23672665.524497524</c:v>
                </c:pt>
                <c:pt idx="3">
                  <c:v>6452093.3700000001</c:v>
                </c:pt>
                <c:pt idx="4">
                  <c:v>2591165.9299999997</c:v>
                </c:pt>
                <c:pt idx="5">
                  <c:v>412640</c:v>
                </c:pt>
                <c:pt idx="6">
                  <c:v>16051121.1</c:v>
                </c:pt>
                <c:pt idx="7">
                  <c:v>2887775.92</c:v>
                </c:pt>
                <c:pt idx="8">
                  <c:v>89479341.062000021</c:v>
                </c:pt>
                <c:pt idx="9">
                  <c:v>122462052.14</c:v>
                </c:pt>
                <c:pt idx="10">
                  <c:v>1632500</c:v>
                </c:pt>
                <c:pt idx="11">
                  <c:v>6387857.2999999998</c:v>
                </c:pt>
                <c:pt idx="12">
                  <c:v>459975.85999999993</c:v>
                </c:pt>
                <c:pt idx="13">
                  <c:v>1316699.1735537192</c:v>
                </c:pt>
                <c:pt idx="14">
                  <c:v>3392708.0056120199</c:v>
                </c:pt>
                <c:pt idx="15">
                  <c:v>3036247.88</c:v>
                </c:pt>
                <c:pt idx="16">
                  <c:v>283296.33999999997</c:v>
                </c:pt>
                <c:pt idx="17">
                  <c:v>1615000</c:v>
                </c:pt>
                <c:pt idx="18">
                  <c:v>35982</c:v>
                </c:pt>
                <c:pt idx="19">
                  <c:v>279623</c:v>
                </c:pt>
                <c:pt idx="20">
                  <c:v>34567907.208252326</c:v>
                </c:pt>
              </c:numCache>
            </c:numRef>
          </c:val>
          <c:extLst>
            <c:ext xmlns:c16="http://schemas.microsoft.com/office/drawing/2014/chart" uri="{C3380CC4-5D6E-409C-BE32-E72D297353CC}">
              <c16:uniqueId val="{0000002A-075F-41BA-AF63-664D9198452C}"/>
            </c:ext>
          </c:extLst>
        </c:ser>
        <c:dLbls>
          <c:dLblPos val="outEnd"/>
          <c:showLegendKey val="0"/>
          <c:showVal val="0"/>
          <c:showCatName val="1"/>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paperSize="9"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30480</xdr:colOff>
      <xdr:row>21</xdr:row>
      <xdr:rowOff>22860</xdr:rowOff>
    </xdr:from>
    <xdr:to>
      <xdr:col>7</xdr:col>
      <xdr:colOff>266700</xdr:colOff>
      <xdr:row>42</xdr:row>
      <xdr:rowOff>83820</xdr:rowOff>
    </xdr:to>
    <xdr:graphicFrame macro="">
      <xdr:nvGraphicFramePr>
        <xdr:cNvPr id="2" name="Gráfico 1">
          <a:extLst>
            <a:ext uri="{FF2B5EF4-FFF2-40B4-BE49-F238E27FC236}">
              <a16:creationId xmlns:a16="http://schemas.microsoft.com/office/drawing/2014/main" id="{527A8B27-18A9-48A6-AAB5-42D0927261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319708</xdr:colOff>
      <xdr:row>28</xdr:row>
      <xdr:rowOff>152401</xdr:rowOff>
    </xdr:from>
    <xdr:to>
      <xdr:col>13</xdr:col>
      <xdr:colOff>200438</xdr:colOff>
      <xdr:row>79</xdr:row>
      <xdr:rowOff>33132</xdr:rowOff>
    </xdr:to>
    <xdr:graphicFrame macro="">
      <xdr:nvGraphicFramePr>
        <xdr:cNvPr id="2" name="Gráfico 1">
          <a:extLst>
            <a:ext uri="{FF2B5EF4-FFF2-40B4-BE49-F238E27FC236}">
              <a16:creationId xmlns:a16="http://schemas.microsoft.com/office/drawing/2014/main" id="{79933A28-1907-4A4B-B740-8863EEFFCB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jfgonzalez/Desktop/Plan%20de%20Contrataci&#243;n%202026%20def%20revisad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jsnavarro/MJ/PLAN%20CONTRATACION%202025/GMU%20PLAN%202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0%20PLAN%20DE%20CONTRATACI&#211;N\Plan%20de%20Contrataci&#243;n%202026\ENTREGA\GMU%20PLAN%20CONTRATACION%20202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0%20PLAN%20DE%20CONTRATACI&#211;N\Plan%20de%20Contrataci&#243;n%202026\ENTREGA\Interno%20GMU%20PLAN%20CONTRATACION%20202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0%20PLAN%20DE%20CONTRATACI&#211;N\Plan%20de%20Contrataci&#243;n%202026\ACTUALIZACION%20NOV%202025\2025_11_22%20Interno%20GMU%20PLAN%20CONTRATACION%202026.xlsx"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Plan_Contratacion_Dpto_Planeamiento_202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K:\0%20PLAN%20DE%20CONTRATACI&#211;N\Plan%20de%20Contrataci&#243;n%202026\DEPARTAMENTOS\Servicios%20Generales%20PLANTILLA%20GMU%20PLAN%20CONTRATACION%202026.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I:\PLAN%202026\ORGANISMOS%20Y%20ENTES\PLAN%20CONTRATACI&#211;N%202026%20ORGANISMOS%20Y%20EMPRES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caldía"/>
      <sheetName val="Asesoría Jur"/>
      <sheetName val="Comercio"/>
      <sheetName val="Comunicación"/>
      <sheetName val="Coord Dtos"/>
      <sheetName val="Cultura"/>
      <sheetName val="Deporte"/>
      <sheetName val="Dchos Soc"/>
      <sheetName val="Dto 1 Centro"/>
      <sheetName val="Dto 2 Este"/>
      <sheetName val="Dto 3 C Jardin"/>
      <sheetName val="Dto 4 Bailén"/>
      <sheetName val="Dto 5 Palma"/>
      <sheetName val="Dto 6 Cruz Hum"/>
      <sheetName val="Dto 7 Ctra Cádiz"/>
      <sheetName val="Dto 8 Churr"/>
      <sheetName val="Dto 9 Camp"/>
      <sheetName val="Dto 10 Pto Torre"/>
      <sheetName val="Dto 11 Teatinos"/>
      <sheetName val="Economía"/>
      <sheetName val="Educación"/>
      <sheetName val="ESPAM"/>
      <sheetName val="Gestión Prog EU"/>
      <sheetName val="Igualdad"/>
      <sheetName val="Innovación"/>
      <sheetName val="Juventud"/>
      <sheetName val="Movilidad"/>
      <sheetName val="Partic Ciud"/>
      <sheetName val="Policía Local"/>
      <sheetName val="Prev y Ext Inc"/>
      <sheetName val="Prot civil"/>
      <sheetName val="RR HH"/>
      <sheetName val="Secr T JGL"/>
      <sheetName val="SS OO"/>
      <sheetName val="Sost Medioamb"/>
      <sheetName val="Turismo"/>
      <sheetName val="Total"/>
      <sheetName val="Resúmen"/>
      <sheetName val="Gráfico"/>
      <sheetName val="comparativ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ow r="5">
          <cell r="B5" t="str">
            <v>Acción Social</v>
          </cell>
          <cell r="C5">
            <v>1701876.31</v>
          </cell>
          <cell r="D5">
            <v>9.0798299922597251E-3</v>
          </cell>
        </row>
        <row r="6">
          <cell r="B6" t="str">
            <v>Medio Ambiente</v>
          </cell>
          <cell r="C6">
            <v>124507243.00000001</v>
          </cell>
          <cell r="D6">
            <v>0.66426954332831023</v>
          </cell>
        </row>
        <row r="7">
          <cell r="B7" t="str">
            <v>Empleo, Economía e Innovación</v>
          </cell>
          <cell r="C7">
            <v>8939348.9971074369</v>
          </cell>
          <cell r="D7">
            <v>4.7693107106716232E-2</v>
          </cell>
        </row>
        <row r="8">
          <cell r="B8" t="str">
            <v>Cultura, Educación, Turismo, Deporte y Juventud</v>
          </cell>
          <cell r="C8">
            <v>17553253.358925622</v>
          </cell>
          <cell r="D8">
            <v>9.3649905914788015E-2</v>
          </cell>
        </row>
        <row r="9">
          <cell r="B9" t="str">
            <v>Otros Servicios Públicos</v>
          </cell>
          <cell r="C9">
            <v>34733099.409999996</v>
          </cell>
          <cell r="D9">
            <v>0.18530761365792589</v>
          </cell>
        </row>
      </sheetData>
      <sheetData sheetId="3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2026 GMU"/>
      <sheetName val="CPVs Usados x GMU"/>
      <sheetName val="CPVs Todos"/>
      <sheetName val="Hoja2"/>
      <sheetName val="Hoja3"/>
    </sheetNames>
    <sheetDataSet>
      <sheetData sheetId="0" refreshError="1"/>
      <sheetData sheetId="1" refreshError="1"/>
      <sheetData sheetId="2" refreshError="1"/>
      <sheetData sheetId="3"/>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2026 GMU"/>
      <sheetName val="CPVs Usados x GMU"/>
      <sheetName val="CPVs Todos"/>
      <sheetName val="Hoja2"/>
      <sheetName val="Hoja3"/>
    </sheetNames>
    <sheetDataSet>
      <sheetData sheetId="0"/>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2026 GMU"/>
      <sheetName val="CPVs Usados x GMU"/>
      <sheetName val="CPVs Todos"/>
      <sheetName val="Hoja2"/>
      <sheetName val="Hoja3"/>
    </sheetNames>
    <sheetDataSet>
      <sheetData sheetId="0"/>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2026 GMU"/>
      <sheetName val="CPVs Usados x GMU"/>
      <sheetName val="CPVs Todos"/>
      <sheetName val="Hoja2"/>
      <sheetName val="Hoja3"/>
    </sheetNames>
    <sheetDataSet>
      <sheetData sheetId="0"/>
      <sheetData sheetId="1"/>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RISAM"/>
      <sheetName val="GMU"/>
      <sheetName val="IMV"/>
      <sheetName val="GEST PICASSO"/>
      <sheetName val="IMFE"/>
      <sheetName val="E.M. GEST. MEDIOS COMUN."/>
      <sheetName val="VIVIENDAS MÁLAGA"/>
      <sheetName val="T. CERVANTES"/>
      <sheetName val="EMASA"/>
      <sheetName val="EMTSAM"/>
      <sheetName val="P. CEMENTERIO"/>
      <sheetName val="PROMALAGA"/>
      <sheetName val="LIMPOSAM"/>
      <sheetName val="MAS CERCA"/>
      <sheetName val="MÁLAGA DEP Y EVENTOS"/>
      <sheetName val="SMASSA"/>
      <sheetName val="F. FELEX REVELLO TORO"/>
      <sheetName val="F. PALACIO VILLALON"/>
      <sheetName val="F. RAFAEL PEREZ ESTRADA"/>
      <sheetName val="ORQUESTA C. MÁLAGA"/>
      <sheetName val="LIMASAM"/>
      <sheetName val="TOTAL"/>
      <sheetName val="resúmen"/>
      <sheetName val="gráfic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4">
          <cell r="B4" t="str">
            <v>Organismo autónomo Gestión Tributaria (GESTRISAM)</v>
          </cell>
          <cell r="C4">
            <v>8447484.8399999999</v>
          </cell>
        </row>
        <row r="5">
          <cell r="B5" t="str">
            <v>Organismo autónomo Gerencia Municipal de Urbanismo (GMU)</v>
          </cell>
          <cell r="C5">
            <v>356447511.26504141</v>
          </cell>
        </row>
        <row r="6">
          <cell r="B6" t="str">
            <v>Organismo autónomo Instituto Municipal de la Vivienda (IMV)</v>
          </cell>
          <cell r="C6">
            <v>23672665.524497524</v>
          </cell>
        </row>
        <row r="7">
          <cell r="B7" t="str">
            <v>Agencia pública para la gestión de la Casa natal de Pablo Ruiz Picasso y otros equipamientos museísticos y culturales</v>
          </cell>
          <cell r="C7">
            <v>6452093.3700000001</v>
          </cell>
        </row>
        <row r="8">
          <cell r="B8" t="str">
            <v>Instituto Municipal para la Formación y el Empleo (IMFE)</v>
          </cell>
          <cell r="C8">
            <v>2591165.9299999997</v>
          </cell>
        </row>
        <row r="9">
          <cell r="B9" t="str">
            <v>Empresa Municipal Gestión de Medios de Comunicación de Málaga, S.A.</v>
          </cell>
          <cell r="C9">
            <v>412640</v>
          </cell>
        </row>
        <row r="10">
          <cell r="B10" t="str">
            <v>Viviendas Málaga, S.L.</v>
          </cell>
          <cell r="C10">
            <v>16051121.1</v>
          </cell>
        </row>
        <row r="11">
          <cell r="B11" t="str">
            <v>Teatro Cervantes de Málaga, S.A.</v>
          </cell>
          <cell r="C11">
            <v>2887775.92</v>
          </cell>
        </row>
        <row r="12">
          <cell r="B12" t="str">
            <v>Empresa Municipal de Aguas de Málaga, S.A. (EMASA)</v>
          </cell>
          <cell r="C12">
            <v>89479341.062000021</v>
          </cell>
        </row>
        <row r="13">
          <cell r="B13" t="str">
            <v>Empresa Malagueña de Transportes, S.A.M. (EMTSAM)</v>
          </cell>
          <cell r="C13">
            <v>122462052.14</v>
          </cell>
        </row>
        <row r="14">
          <cell r="B14" t="str">
            <v>Parque Cementerio de Málaga, S.A.</v>
          </cell>
          <cell r="C14">
            <v>1632500</v>
          </cell>
        </row>
        <row r="15">
          <cell r="B15" t="str">
            <v>Empresa Municipal Iniciativas y Actividades Málaga, S.A. (PROMALAGA)</v>
          </cell>
          <cell r="C15">
            <v>6387857.2999999998</v>
          </cell>
        </row>
        <row r="16">
          <cell r="B16" t="str">
            <v>Empresa Limpiezas Municipales y Parque del Oeste, S.A.M. (LIMPOSAM)</v>
          </cell>
          <cell r="C16">
            <v>459975.85999999993</v>
          </cell>
        </row>
        <row r="17">
          <cell r="B17" t="str">
            <v>Más Cerca, S.A.M.</v>
          </cell>
          <cell r="C17">
            <v>1316699.1735537192</v>
          </cell>
        </row>
        <row r="18">
          <cell r="B18" t="str">
            <v>Málaga Deportes y Eventos, S.A.</v>
          </cell>
          <cell r="C18">
            <v>3392708.0056120199</v>
          </cell>
        </row>
        <row r="19">
          <cell r="B19" t="str">
            <v>Municipal Aparcamientos y Servicios, S.A. (SMASSA)</v>
          </cell>
          <cell r="C19">
            <v>3036247.88</v>
          </cell>
        </row>
        <row r="20">
          <cell r="B20" t="str">
            <v>Fundación Félix Revello de Toro</v>
          </cell>
          <cell r="C20">
            <v>283296.33999999997</v>
          </cell>
        </row>
        <row r="21">
          <cell r="B21" t="str">
            <v>Fundación Pública Palacio Villalón</v>
          </cell>
          <cell r="C21">
            <v>1615000</v>
          </cell>
        </row>
        <row r="22">
          <cell r="B22" t="str">
            <v>Fundación Municipal Rafael Pérez Estrada</v>
          </cell>
          <cell r="C22">
            <v>35982</v>
          </cell>
        </row>
        <row r="23">
          <cell r="B23" t="str">
            <v>Orquesta Ciudad de Málaga</v>
          </cell>
          <cell r="C23">
            <v>279623</v>
          </cell>
        </row>
        <row r="24">
          <cell r="B24" t="str">
            <v>Limpiezas de Málaga, S.A.M. (LIMASAM)</v>
          </cell>
          <cell r="C24">
            <v>34567907.208252326</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https://www.google.com/search?q=72413000&amp;sca_esv=fbce5c1644a5d5c8&amp;ei=n7YEaeahKv-ukdUPkKe6uAo&amp;ved=2ahUKEwjHkJr9ws6QAxUYVqQEHcQZNT0QgK4QegQIARAC&amp;uact=5&amp;oq=CUAL+el+cpv+de+Dise%C3%B1o+y+maquetaci%C3%B3n+de+la+web+STO&amp;gs_lp=Egxnd3Mtd2l6LXNlcnAiM0NVQUwgZWwgY3B2IGRlIERpc2XDsW8geSBtYXF1ZXRhY2nDs24gZGUgbGEgd2ViIFNUTzIFECEYoAEyBRAhGKABMgUQIRigATIFECEYoAFI4hJQ5AZY5AZwAXgBkAEAmAGJAaABiQGqAQMwLjG4AQPIAQD4AQL4AQGYAgKgApMBwgIKEAAYsAMY1gQYR5gDAIgGAZAGApIHAzEuMaAHigSyBwMwLjG4B48BwgcDMC4yyAcE&amp;sclient=gws-wiz-serp&amp;mstk=AUtExfCxLzfikByJCI3d2pyl-8nPTce7_gPgUGg3oMJlszClTKXuzY7ZJzfEWtnPKq4DK0NUVPRZecOIBHgLjdKA6yzab5AiBGxiv_jFPG9HmGyDafDdim0TQJVcUwzGtE-4lFc&amp;csui=3"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B433B-8A25-4D8A-B9D7-A110D5014F78}">
  <dimension ref="A1:Y1129"/>
  <sheetViews>
    <sheetView workbookViewId="0">
      <selection activeCell="L5" sqref="L5"/>
    </sheetView>
  </sheetViews>
  <sheetFormatPr baseColWidth="10" defaultColWidth="13.7265625" defaultRowHeight="15.6" x14ac:dyDescent="0.35"/>
  <cols>
    <col min="1" max="1" width="16.81640625" style="4" customWidth="1"/>
    <col min="2" max="2" width="10.54296875" style="4" customWidth="1"/>
    <col min="3" max="3" width="7.26953125" style="4" customWidth="1"/>
    <col min="4" max="4" width="29.36328125" style="33" customWidth="1"/>
    <col min="5" max="5" width="13.26953125" style="31" customWidth="1"/>
    <col min="6" max="6" width="6.1796875" style="34" customWidth="1"/>
    <col min="7" max="7" width="11.26953125" style="4" customWidth="1"/>
    <col min="8" max="8" width="12.1796875" style="4" customWidth="1"/>
    <col min="9" max="9" width="8.26953125" style="4" customWidth="1"/>
    <col min="10" max="10" width="6.54296875" style="32" customWidth="1"/>
    <col min="11" max="11" width="8.6328125" style="33" customWidth="1"/>
    <col min="12" max="12" width="20.08984375" style="3" customWidth="1"/>
    <col min="13" max="25" width="8.7265625" style="3" customWidth="1"/>
    <col min="26" max="16384" width="13.7265625" style="3"/>
  </cols>
  <sheetData>
    <row r="1" spans="1:11" ht="19.95" customHeight="1" x14ac:dyDescent="0.35">
      <c r="A1" s="1" t="s">
        <v>0</v>
      </c>
      <c r="B1" s="1"/>
      <c r="C1" s="1"/>
      <c r="D1" s="1"/>
      <c r="E1" s="1"/>
      <c r="F1" s="1"/>
      <c r="G1" s="1"/>
      <c r="H1" s="1"/>
      <c r="I1" s="1"/>
      <c r="J1" s="1"/>
      <c r="K1" s="2"/>
    </row>
    <row r="2" spans="1:11" ht="19.95" customHeight="1" x14ac:dyDescent="0.35">
      <c r="B2" s="5"/>
      <c r="C2" s="5"/>
      <c r="D2" s="6"/>
      <c r="E2" s="7"/>
      <c r="F2" s="5"/>
      <c r="G2" s="5"/>
      <c r="H2" s="5"/>
      <c r="I2" s="5"/>
      <c r="J2" s="8"/>
      <c r="K2" s="6"/>
    </row>
    <row r="3" spans="1:11" ht="24" customHeight="1" x14ac:dyDescent="0.35">
      <c r="A3" s="9" t="s">
        <v>1</v>
      </c>
      <c r="B3" s="9" t="s">
        <v>2</v>
      </c>
      <c r="C3" s="10" t="s">
        <v>3</v>
      </c>
      <c r="D3" s="11" t="s">
        <v>4</v>
      </c>
      <c r="E3" s="12" t="s">
        <v>5</v>
      </c>
      <c r="F3" s="11" t="s">
        <v>6</v>
      </c>
      <c r="G3" s="11" t="s">
        <v>7</v>
      </c>
      <c r="H3" s="11" t="s">
        <v>8</v>
      </c>
      <c r="I3" s="11" t="s">
        <v>9</v>
      </c>
      <c r="J3" s="13" t="s">
        <v>10</v>
      </c>
      <c r="K3" s="9" t="s">
        <v>11</v>
      </c>
    </row>
    <row r="4" spans="1:11" ht="34.799999999999997" customHeight="1" x14ac:dyDescent="0.35">
      <c r="A4" s="14"/>
      <c r="B4" s="14"/>
      <c r="C4" s="15"/>
      <c r="D4" s="16"/>
      <c r="E4" s="17"/>
      <c r="F4" s="18"/>
      <c r="G4" s="16"/>
      <c r="H4" s="19"/>
      <c r="I4" s="20"/>
      <c r="J4" s="21"/>
      <c r="K4" s="22"/>
    </row>
    <row r="5" spans="1:11" ht="93.6" x14ac:dyDescent="0.35">
      <c r="A5" s="23" t="s">
        <v>12</v>
      </c>
      <c r="B5" s="24" t="s">
        <v>13</v>
      </c>
      <c r="C5" s="24" t="s">
        <v>14</v>
      </c>
      <c r="D5" s="23" t="s">
        <v>15</v>
      </c>
      <c r="E5" s="25">
        <v>31735.53</v>
      </c>
      <c r="F5" s="23" t="s">
        <v>14</v>
      </c>
      <c r="G5" s="26" t="s">
        <v>16</v>
      </c>
      <c r="H5" s="26" t="s">
        <v>17</v>
      </c>
      <c r="I5" s="27" t="s">
        <v>18</v>
      </c>
      <c r="J5" s="24" t="s">
        <v>19</v>
      </c>
      <c r="K5" s="24" t="s">
        <v>14</v>
      </c>
    </row>
    <row r="6" spans="1:11" ht="109.2" x14ac:dyDescent="0.35">
      <c r="A6" s="23" t="s">
        <v>12</v>
      </c>
      <c r="B6" s="24" t="s">
        <v>20</v>
      </c>
      <c r="C6" s="24" t="s">
        <v>14</v>
      </c>
      <c r="D6" s="28" t="s">
        <v>21</v>
      </c>
      <c r="E6" s="29">
        <v>288000</v>
      </c>
      <c r="F6" s="23" t="s">
        <v>14</v>
      </c>
      <c r="G6" s="23" t="s">
        <v>22</v>
      </c>
      <c r="H6" s="24" t="s">
        <v>23</v>
      </c>
      <c r="I6" s="24" t="s">
        <v>24</v>
      </c>
      <c r="J6" s="24" t="s">
        <v>19</v>
      </c>
      <c r="K6" s="24" t="s">
        <v>14</v>
      </c>
    </row>
    <row r="7" spans="1:11" ht="93.6" x14ac:dyDescent="0.35">
      <c r="A7" s="23" t="s">
        <v>12</v>
      </c>
      <c r="B7" s="24" t="s">
        <v>20</v>
      </c>
      <c r="C7" s="24" t="s">
        <v>14</v>
      </c>
      <c r="D7" s="23" t="s">
        <v>25</v>
      </c>
      <c r="E7" s="25">
        <v>112520.52</v>
      </c>
      <c r="F7" s="23" t="s">
        <v>14</v>
      </c>
      <c r="G7" s="26" t="s">
        <v>26</v>
      </c>
      <c r="H7" s="26" t="s">
        <v>27</v>
      </c>
      <c r="I7" s="27" t="s">
        <v>24</v>
      </c>
      <c r="J7" s="24" t="s">
        <v>19</v>
      </c>
      <c r="K7" s="24" t="s">
        <v>14</v>
      </c>
    </row>
    <row r="8" spans="1:11" ht="93.6" x14ac:dyDescent="0.35">
      <c r="A8" s="23" t="s">
        <v>12</v>
      </c>
      <c r="B8" s="24" t="s">
        <v>13</v>
      </c>
      <c r="C8" s="24" t="s">
        <v>14</v>
      </c>
      <c r="D8" s="30" t="s">
        <v>28</v>
      </c>
      <c r="E8" s="29">
        <v>128925.6</v>
      </c>
      <c r="F8" s="23" t="s">
        <v>14</v>
      </c>
      <c r="G8" s="26" t="s">
        <v>26</v>
      </c>
      <c r="H8" s="24" t="s">
        <v>29</v>
      </c>
      <c r="I8" s="24" t="s">
        <v>24</v>
      </c>
      <c r="J8" s="24" t="s">
        <v>19</v>
      </c>
      <c r="K8" s="24" t="s">
        <v>14</v>
      </c>
    </row>
    <row r="9" spans="1:11" x14ac:dyDescent="0.35">
      <c r="B9" s="3"/>
      <c r="C9" s="3"/>
      <c r="D9" s="4"/>
      <c r="F9" s="3"/>
      <c r="G9" s="3"/>
      <c r="H9" s="32"/>
      <c r="I9" s="3"/>
      <c r="J9" s="3"/>
      <c r="K9" s="3"/>
    </row>
    <row r="10" spans="1:11" x14ac:dyDescent="0.35">
      <c r="B10" s="3"/>
      <c r="C10" s="3"/>
      <c r="D10" s="4"/>
      <c r="F10" s="3"/>
      <c r="G10" s="3"/>
      <c r="H10" s="32"/>
      <c r="I10" s="3"/>
      <c r="J10" s="3"/>
      <c r="K10" s="3"/>
    </row>
    <row r="11" spans="1:11" x14ac:dyDescent="0.35">
      <c r="B11" s="3"/>
      <c r="C11" s="3"/>
      <c r="D11" s="4"/>
      <c r="F11" s="3"/>
      <c r="G11" s="3"/>
      <c r="H11" s="32"/>
      <c r="I11" s="3"/>
      <c r="J11" s="3"/>
      <c r="K11" s="3"/>
    </row>
    <row r="12" spans="1:11" x14ac:dyDescent="0.35">
      <c r="B12" s="3"/>
      <c r="C12" s="3"/>
      <c r="D12" s="4"/>
      <c r="F12" s="3"/>
      <c r="G12" s="3"/>
      <c r="H12" s="32"/>
      <c r="I12" s="3"/>
      <c r="J12" s="3"/>
      <c r="K12" s="3"/>
    </row>
    <row r="13" spans="1:11" x14ac:dyDescent="0.35">
      <c r="B13" s="3"/>
      <c r="C13" s="3"/>
      <c r="D13" s="4"/>
      <c r="F13" s="3"/>
      <c r="G13" s="3"/>
      <c r="H13" s="32"/>
      <c r="I13" s="3"/>
      <c r="J13" s="3"/>
      <c r="K13" s="3"/>
    </row>
    <row r="14" spans="1:11" ht="19.95" customHeight="1" x14ac:dyDescent="0.35"/>
    <row r="15" spans="1:11" ht="19.95" customHeight="1" x14ac:dyDescent="0.35">
      <c r="A15" s="1" t="s">
        <v>30</v>
      </c>
      <c r="B15" s="1"/>
      <c r="C15" s="1"/>
      <c r="D15" s="1"/>
      <c r="E15" s="1"/>
      <c r="F15" s="1"/>
      <c r="G15" s="1"/>
      <c r="H15" s="1"/>
      <c r="I15" s="1"/>
      <c r="J15" s="1"/>
      <c r="K15" s="2"/>
    </row>
    <row r="16" spans="1:11" ht="19.95" customHeight="1" x14ac:dyDescent="0.35">
      <c r="A16" s="35"/>
      <c r="B16" s="36"/>
      <c r="C16" s="37"/>
      <c r="D16" s="38"/>
      <c r="E16" s="39"/>
      <c r="F16" s="40"/>
      <c r="G16" s="37"/>
      <c r="H16" s="37"/>
      <c r="I16" s="37"/>
      <c r="J16" s="41"/>
      <c r="K16" s="38"/>
    </row>
    <row r="17" spans="1:11" ht="24" customHeight="1" x14ac:dyDescent="0.35">
      <c r="A17" s="42" t="s">
        <v>1</v>
      </c>
      <c r="B17" s="42" t="s">
        <v>2</v>
      </c>
      <c r="C17" s="42" t="s">
        <v>3</v>
      </c>
      <c r="D17" s="42" t="s">
        <v>4</v>
      </c>
      <c r="E17" s="43" t="s">
        <v>5</v>
      </c>
      <c r="F17" s="42" t="s">
        <v>6</v>
      </c>
      <c r="G17" s="42" t="s">
        <v>7</v>
      </c>
      <c r="H17" s="42" t="s">
        <v>8</v>
      </c>
      <c r="I17" s="42" t="s">
        <v>9</v>
      </c>
      <c r="J17" s="42" t="s">
        <v>10</v>
      </c>
      <c r="K17" s="42" t="s">
        <v>11</v>
      </c>
    </row>
    <row r="18" spans="1:11" ht="33.6" customHeight="1" x14ac:dyDescent="0.35">
      <c r="A18" s="42"/>
      <c r="B18" s="42"/>
      <c r="C18" s="44"/>
      <c r="D18" s="42"/>
      <c r="E18" s="45"/>
      <c r="F18" s="46"/>
      <c r="G18" s="44"/>
      <c r="H18" s="44"/>
      <c r="I18" s="44"/>
      <c r="J18" s="47"/>
      <c r="K18" s="48"/>
    </row>
    <row r="19" spans="1:11" ht="109.2" x14ac:dyDescent="0.35">
      <c r="A19" s="49" t="s">
        <v>31</v>
      </c>
      <c r="B19" s="50" t="s">
        <v>32</v>
      </c>
      <c r="C19" s="51" t="s">
        <v>14</v>
      </c>
      <c r="D19" s="50" t="s">
        <v>33</v>
      </c>
      <c r="E19" s="29">
        <v>380000</v>
      </c>
      <c r="F19" s="50" t="s">
        <v>14</v>
      </c>
      <c r="G19" s="52" t="s">
        <v>34</v>
      </c>
      <c r="H19" s="50" t="s">
        <v>35</v>
      </c>
      <c r="I19" s="53" t="s">
        <v>18</v>
      </c>
      <c r="J19" s="51" t="s">
        <v>14</v>
      </c>
      <c r="K19" s="51" t="s">
        <v>14</v>
      </c>
    </row>
    <row r="20" spans="1:11" ht="19.95" customHeight="1" x14ac:dyDescent="0.35">
      <c r="E20" s="54"/>
    </row>
    <row r="21" spans="1:11" ht="19.95" customHeight="1" x14ac:dyDescent="0.35"/>
    <row r="22" spans="1:11" ht="19.95" customHeight="1" x14ac:dyDescent="0.35">
      <c r="A22" s="1" t="s">
        <v>36</v>
      </c>
      <c r="B22" s="1"/>
      <c r="C22" s="1"/>
      <c r="D22" s="1"/>
      <c r="E22" s="1"/>
      <c r="F22" s="1"/>
      <c r="G22" s="1"/>
      <c r="H22" s="1"/>
      <c r="I22" s="1"/>
      <c r="J22" s="1"/>
      <c r="K22" s="2"/>
    </row>
    <row r="23" spans="1:11" ht="19.95" customHeight="1" x14ac:dyDescent="0.35">
      <c r="B23" s="36"/>
      <c r="C23" s="37"/>
      <c r="D23" s="38"/>
      <c r="E23" s="39"/>
      <c r="F23" s="40"/>
      <c r="G23" s="37"/>
      <c r="H23" s="37"/>
      <c r="I23" s="37"/>
      <c r="J23" s="41"/>
      <c r="K23" s="38"/>
    </row>
    <row r="24" spans="1:11" ht="24" customHeight="1" x14ac:dyDescent="0.35">
      <c r="A24" s="9" t="s">
        <v>1</v>
      </c>
      <c r="B24" s="42" t="s">
        <v>2</v>
      </c>
      <c r="C24" s="42" t="s">
        <v>3</v>
      </c>
      <c r="D24" s="11" t="s">
        <v>4</v>
      </c>
      <c r="E24" s="43" t="s">
        <v>37</v>
      </c>
      <c r="F24" s="42" t="s">
        <v>6</v>
      </c>
      <c r="G24" s="42" t="s">
        <v>7</v>
      </c>
      <c r="H24" s="42" t="s">
        <v>8</v>
      </c>
      <c r="I24" s="42" t="s">
        <v>9</v>
      </c>
      <c r="J24" s="42" t="s">
        <v>10</v>
      </c>
      <c r="K24" s="42" t="s">
        <v>11</v>
      </c>
    </row>
    <row r="25" spans="1:11" ht="39.6" customHeight="1" x14ac:dyDescent="0.35">
      <c r="A25" s="14"/>
      <c r="B25" s="42"/>
      <c r="C25" s="44"/>
      <c r="D25" s="16"/>
      <c r="E25" s="45"/>
      <c r="F25" s="46"/>
      <c r="G25" s="44"/>
      <c r="H25" s="44"/>
      <c r="I25" s="44"/>
      <c r="J25" s="47"/>
      <c r="K25" s="48"/>
    </row>
    <row r="26" spans="1:11" ht="124.8" x14ac:dyDescent="0.35">
      <c r="A26" s="23" t="s">
        <v>12</v>
      </c>
      <c r="B26" s="24" t="s">
        <v>20</v>
      </c>
      <c r="C26" s="24" t="s">
        <v>14</v>
      </c>
      <c r="D26" s="23" t="s">
        <v>38</v>
      </c>
      <c r="E26" s="55">
        <f>70000/2*5</f>
        <v>175000</v>
      </c>
      <c r="F26" s="24" t="s">
        <v>19</v>
      </c>
      <c r="G26" s="24" t="s">
        <v>39</v>
      </c>
      <c r="H26" s="23" t="s">
        <v>40</v>
      </c>
      <c r="I26" s="24" t="s">
        <v>24</v>
      </c>
      <c r="J26" s="23" t="s">
        <v>41</v>
      </c>
      <c r="K26" s="24" t="s">
        <v>14</v>
      </c>
    </row>
    <row r="27" spans="1:11" ht="93.6" x14ac:dyDescent="0.35">
      <c r="A27" s="23" t="s">
        <v>42</v>
      </c>
      <c r="B27" s="24" t="s">
        <v>20</v>
      </c>
      <c r="C27" s="24" t="s">
        <v>19</v>
      </c>
      <c r="D27" s="23" t="s">
        <v>43</v>
      </c>
      <c r="E27" s="29">
        <v>29752</v>
      </c>
      <c r="F27" s="24" t="s">
        <v>14</v>
      </c>
      <c r="G27" s="24" t="s">
        <v>44</v>
      </c>
      <c r="H27" s="23" t="s">
        <v>45</v>
      </c>
      <c r="I27" s="56" t="s">
        <v>46</v>
      </c>
      <c r="J27" s="57" t="s">
        <v>14</v>
      </c>
      <c r="K27" s="24" t="s">
        <v>14</v>
      </c>
    </row>
    <row r="28" spans="1:11" ht="93.6" x14ac:dyDescent="0.35">
      <c r="A28" s="23" t="s">
        <v>42</v>
      </c>
      <c r="B28" s="24" t="s">
        <v>20</v>
      </c>
      <c r="C28" s="24" t="s">
        <v>19</v>
      </c>
      <c r="D28" s="23" t="s">
        <v>47</v>
      </c>
      <c r="E28" s="29">
        <v>24545</v>
      </c>
      <c r="F28" s="24" t="s">
        <v>14</v>
      </c>
      <c r="G28" s="24" t="s">
        <v>39</v>
      </c>
      <c r="H28" s="23" t="s">
        <v>48</v>
      </c>
      <c r="I28" s="24" t="s">
        <v>49</v>
      </c>
      <c r="J28" s="23" t="s">
        <v>14</v>
      </c>
      <c r="K28" s="24" t="s">
        <v>14</v>
      </c>
    </row>
    <row r="29" spans="1:11" ht="93.6" x14ac:dyDescent="0.35">
      <c r="A29" s="58" t="s">
        <v>12</v>
      </c>
      <c r="B29" s="24" t="s">
        <v>50</v>
      </c>
      <c r="C29" s="59" t="s">
        <v>14</v>
      </c>
      <c r="D29" s="23" t="s">
        <v>51</v>
      </c>
      <c r="E29" s="29">
        <v>66115</v>
      </c>
      <c r="F29" s="24" t="s">
        <v>14</v>
      </c>
      <c r="G29" s="24" t="s">
        <v>39</v>
      </c>
      <c r="H29" s="23" t="s">
        <v>52</v>
      </c>
      <c r="I29" s="24" t="s">
        <v>53</v>
      </c>
      <c r="J29" s="24" t="s">
        <v>14</v>
      </c>
      <c r="K29" s="24" t="s">
        <v>14</v>
      </c>
    </row>
    <row r="30" spans="1:11" ht="78" x14ac:dyDescent="0.35">
      <c r="A30" s="23" t="s">
        <v>54</v>
      </c>
      <c r="B30" s="24" t="s">
        <v>50</v>
      </c>
      <c r="C30" s="24" t="s">
        <v>19</v>
      </c>
      <c r="D30" s="23" t="s">
        <v>55</v>
      </c>
      <c r="E30" s="29">
        <v>28925</v>
      </c>
      <c r="F30" s="24" t="s">
        <v>14</v>
      </c>
      <c r="G30" s="24" t="s">
        <v>39</v>
      </c>
      <c r="H30" s="23" t="s">
        <v>56</v>
      </c>
      <c r="I30" s="24" t="s">
        <v>57</v>
      </c>
      <c r="J30" s="24" t="s">
        <v>14</v>
      </c>
      <c r="K30" s="24" t="s">
        <v>14</v>
      </c>
    </row>
    <row r="31" spans="1:11" ht="124.8" x14ac:dyDescent="0.35">
      <c r="A31" s="23" t="s">
        <v>42</v>
      </c>
      <c r="B31" s="24" t="s">
        <v>20</v>
      </c>
      <c r="C31" s="24" t="s">
        <v>19</v>
      </c>
      <c r="D31" s="23" t="s">
        <v>58</v>
      </c>
      <c r="E31" s="29" t="s">
        <v>59</v>
      </c>
      <c r="F31" s="24" t="s">
        <v>14</v>
      </c>
      <c r="G31" s="24" t="s">
        <v>60</v>
      </c>
      <c r="H31" s="23" t="s">
        <v>45</v>
      </c>
      <c r="I31" s="24" t="s">
        <v>24</v>
      </c>
      <c r="J31" s="23" t="s">
        <v>41</v>
      </c>
      <c r="K31" s="24" t="s">
        <v>14</v>
      </c>
    </row>
    <row r="32" spans="1:11" ht="124.8" x14ac:dyDescent="0.35">
      <c r="A32" s="23" t="s">
        <v>42</v>
      </c>
      <c r="B32" s="24" t="s">
        <v>20</v>
      </c>
      <c r="C32" s="24" t="s">
        <v>19</v>
      </c>
      <c r="D32" s="23" t="s">
        <v>61</v>
      </c>
      <c r="E32" s="29">
        <v>47438</v>
      </c>
      <c r="F32" s="24" t="s">
        <v>14</v>
      </c>
      <c r="G32" s="24" t="s">
        <v>60</v>
      </c>
      <c r="H32" s="23" t="s">
        <v>62</v>
      </c>
      <c r="I32" s="24" t="s">
        <v>18</v>
      </c>
      <c r="J32" s="23" t="s">
        <v>63</v>
      </c>
      <c r="K32" s="24" t="s">
        <v>14</v>
      </c>
    </row>
    <row r="33" spans="1:11" ht="124.8" x14ac:dyDescent="0.35">
      <c r="A33" s="58" t="s">
        <v>12</v>
      </c>
      <c r="B33" s="24" t="s">
        <v>20</v>
      </c>
      <c r="C33" s="24" t="s">
        <v>14</v>
      </c>
      <c r="D33" s="23" t="s">
        <v>64</v>
      </c>
      <c r="E33" s="29">
        <v>106830</v>
      </c>
      <c r="F33" s="24" t="s">
        <v>14</v>
      </c>
      <c r="G33" s="24" t="s">
        <v>60</v>
      </c>
      <c r="H33" s="23" t="s">
        <v>65</v>
      </c>
      <c r="I33" s="24" t="s">
        <v>24</v>
      </c>
      <c r="J33" s="23" t="s">
        <v>41</v>
      </c>
      <c r="K33" s="24" t="s">
        <v>14</v>
      </c>
    </row>
    <row r="34" spans="1:11" ht="46.8" x14ac:dyDescent="0.35">
      <c r="A34" s="23" t="s">
        <v>66</v>
      </c>
      <c r="B34" s="24" t="s">
        <v>20</v>
      </c>
      <c r="C34" s="24" t="s">
        <v>14</v>
      </c>
      <c r="D34" s="23" t="s">
        <v>67</v>
      </c>
      <c r="E34" s="29">
        <v>111900</v>
      </c>
      <c r="F34" s="24" t="s">
        <v>19</v>
      </c>
      <c r="G34" s="24" t="s">
        <v>60</v>
      </c>
      <c r="H34" s="23">
        <v>45442110</v>
      </c>
      <c r="I34" s="24" t="s">
        <v>46</v>
      </c>
      <c r="J34" s="23" t="s">
        <v>14</v>
      </c>
      <c r="K34" s="24" t="s">
        <v>14</v>
      </c>
    </row>
    <row r="35" spans="1:11" ht="19.95" customHeight="1" x14ac:dyDescent="0.35"/>
    <row r="36" spans="1:11" ht="19.95" customHeight="1" x14ac:dyDescent="0.35"/>
    <row r="37" spans="1:11" ht="19.95" customHeight="1" x14ac:dyDescent="0.35"/>
    <row r="38" spans="1:11" ht="19.95" customHeight="1" x14ac:dyDescent="0.35">
      <c r="A38" s="1" t="s">
        <v>68</v>
      </c>
      <c r="B38" s="1"/>
      <c r="C38" s="1"/>
      <c r="D38" s="1"/>
      <c r="E38" s="1"/>
      <c r="F38" s="1"/>
      <c r="G38" s="1"/>
      <c r="H38" s="1"/>
      <c r="I38" s="1"/>
      <c r="J38" s="1"/>
      <c r="K38" s="2"/>
    </row>
    <row r="39" spans="1:11" ht="19.95" customHeight="1" x14ac:dyDescent="0.35">
      <c r="B39" s="36"/>
      <c r="C39" s="37"/>
      <c r="D39" s="38"/>
      <c r="E39" s="39"/>
      <c r="F39" s="40"/>
      <c r="G39" s="37"/>
      <c r="H39" s="37"/>
      <c r="I39" s="37"/>
      <c r="J39" s="41"/>
      <c r="K39" s="38"/>
    </row>
    <row r="40" spans="1:11" ht="24" customHeight="1" x14ac:dyDescent="0.35">
      <c r="A40" s="9" t="s">
        <v>1</v>
      </c>
      <c r="B40" s="42" t="s">
        <v>2</v>
      </c>
      <c r="C40" s="42" t="s">
        <v>3</v>
      </c>
      <c r="D40" s="11" t="s">
        <v>4</v>
      </c>
      <c r="E40" s="43" t="s">
        <v>5</v>
      </c>
      <c r="F40" s="42" t="s">
        <v>6</v>
      </c>
      <c r="G40" s="42" t="s">
        <v>7</v>
      </c>
      <c r="H40" s="42" t="s">
        <v>8</v>
      </c>
      <c r="I40" s="42" t="s">
        <v>9</v>
      </c>
      <c r="J40" s="42" t="s">
        <v>10</v>
      </c>
      <c r="K40" s="42" t="s">
        <v>11</v>
      </c>
    </row>
    <row r="41" spans="1:11" ht="24" customHeight="1" x14ac:dyDescent="0.35">
      <c r="A41" s="14"/>
      <c r="B41" s="42"/>
      <c r="C41" s="44"/>
      <c r="D41" s="16"/>
      <c r="E41" s="45"/>
      <c r="F41" s="46"/>
      <c r="G41" s="44"/>
      <c r="H41" s="44"/>
      <c r="I41" s="44"/>
      <c r="J41" s="47"/>
      <c r="K41" s="48"/>
    </row>
    <row r="42" spans="1:11" ht="78" x14ac:dyDescent="0.35">
      <c r="A42" s="30" t="s">
        <v>31</v>
      </c>
      <c r="B42" s="24" t="s">
        <v>20</v>
      </c>
      <c r="C42" s="24" t="s">
        <v>14</v>
      </c>
      <c r="D42" s="23" t="s">
        <v>69</v>
      </c>
      <c r="E42" s="60">
        <v>151680</v>
      </c>
      <c r="F42" s="23" t="s">
        <v>14</v>
      </c>
      <c r="G42" s="27" t="s">
        <v>34</v>
      </c>
      <c r="H42" s="26" t="s">
        <v>70</v>
      </c>
      <c r="I42" s="27" t="s">
        <v>71</v>
      </c>
      <c r="J42" s="24" t="s">
        <v>72</v>
      </c>
      <c r="K42" s="59" t="s">
        <v>14</v>
      </c>
    </row>
    <row r="43" spans="1:11" x14ac:dyDescent="0.35">
      <c r="B43" s="35"/>
      <c r="C43" s="35"/>
      <c r="D43" s="61"/>
      <c r="E43" s="62"/>
      <c r="F43" s="61"/>
      <c r="G43" s="61"/>
      <c r="H43" s="61"/>
      <c r="I43" s="35"/>
      <c r="J43" s="35"/>
      <c r="K43" s="61"/>
    </row>
    <row r="44" spans="1:11" x14ac:dyDescent="0.35">
      <c r="B44" s="35"/>
      <c r="C44" s="35"/>
      <c r="D44" s="61"/>
      <c r="E44" s="54"/>
      <c r="F44" s="61"/>
      <c r="G44" s="61"/>
      <c r="H44" s="61"/>
      <c r="I44" s="35"/>
      <c r="J44" s="35"/>
      <c r="K44" s="61"/>
    </row>
    <row r="45" spans="1:11" ht="19.95" customHeight="1" x14ac:dyDescent="0.35">
      <c r="A45" s="1" t="s">
        <v>73</v>
      </c>
      <c r="B45" s="1"/>
      <c r="C45" s="1"/>
      <c r="D45" s="1"/>
      <c r="E45" s="1"/>
      <c r="F45" s="1"/>
      <c r="G45" s="1"/>
      <c r="H45" s="1"/>
      <c r="I45" s="1"/>
      <c r="J45" s="1"/>
      <c r="K45" s="2"/>
    </row>
    <row r="46" spans="1:11" ht="19.95" customHeight="1" x14ac:dyDescent="0.35">
      <c r="B46" s="35"/>
      <c r="C46" s="35"/>
      <c r="D46" s="61"/>
      <c r="E46" s="54"/>
      <c r="F46" s="63"/>
      <c r="G46" s="35"/>
      <c r="H46" s="35"/>
      <c r="I46" s="35"/>
      <c r="J46" s="64"/>
      <c r="K46" s="61"/>
    </row>
    <row r="47" spans="1:11" ht="24" customHeight="1" x14ac:dyDescent="0.35">
      <c r="A47" s="9" t="s">
        <v>1</v>
      </c>
      <c r="B47" s="42" t="s">
        <v>2</v>
      </c>
      <c r="C47" s="42" t="s">
        <v>3</v>
      </c>
      <c r="D47" s="11" t="s">
        <v>4</v>
      </c>
      <c r="E47" s="43" t="s">
        <v>5</v>
      </c>
      <c r="F47" s="42" t="s">
        <v>6</v>
      </c>
      <c r="G47" s="42" t="s">
        <v>7</v>
      </c>
      <c r="H47" s="42" t="s">
        <v>8</v>
      </c>
      <c r="I47" s="42" t="s">
        <v>9</v>
      </c>
      <c r="J47" s="42" t="s">
        <v>10</v>
      </c>
      <c r="K47" s="42" t="s">
        <v>11</v>
      </c>
    </row>
    <row r="48" spans="1:11" ht="40.200000000000003" customHeight="1" x14ac:dyDescent="0.35">
      <c r="A48" s="14"/>
      <c r="B48" s="42"/>
      <c r="C48" s="44"/>
      <c r="D48" s="16"/>
      <c r="E48" s="45"/>
      <c r="F48" s="46"/>
      <c r="G48" s="44"/>
      <c r="H48" s="44"/>
      <c r="I48" s="44"/>
      <c r="J48" s="47"/>
      <c r="K48" s="48"/>
    </row>
    <row r="49" spans="1:11" ht="93.6" x14ac:dyDescent="0.35">
      <c r="A49" s="50" t="s">
        <v>74</v>
      </c>
      <c r="B49" s="23" t="s">
        <v>13</v>
      </c>
      <c r="C49" s="23" t="s">
        <v>72</v>
      </c>
      <c r="D49" s="65" t="s">
        <v>75</v>
      </c>
      <c r="E49" s="66">
        <v>59500</v>
      </c>
      <c r="F49" s="23" t="s">
        <v>14</v>
      </c>
      <c r="G49" s="23" t="s">
        <v>39</v>
      </c>
      <c r="H49" s="23" t="s">
        <v>76</v>
      </c>
      <c r="I49" s="24" t="s">
        <v>77</v>
      </c>
      <c r="J49" s="24" t="s">
        <v>14</v>
      </c>
      <c r="K49" s="24" t="s">
        <v>14</v>
      </c>
    </row>
    <row r="50" spans="1:11" ht="96" customHeight="1" x14ac:dyDescent="0.35">
      <c r="A50" s="23" t="s">
        <v>78</v>
      </c>
      <c r="B50" s="23" t="s">
        <v>13</v>
      </c>
      <c r="C50" s="23" t="s">
        <v>14</v>
      </c>
      <c r="D50" s="23" t="s">
        <v>79</v>
      </c>
      <c r="E50" s="66">
        <v>1150750</v>
      </c>
      <c r="F50" s="23" t="s">
        <v>72</v>
      </c>
      <c r="G50" s="23" t="s">
        <v>60</v>
      </c>
      <c r="H50" s="23" t="s">
        <v>76</v>
      </c>
      <c r="I50" s="23" t="s">
        <v>80</v>
      </c>
      <c r="J50" s="23" t="s">
        <v>72</v>
      </c>
      <c r="K50" s="23" t="s">
        <v>14</v>
      </c>
    </row>
    <row r="51" spans="1:11" ht="62.4" x14ac:dyDescent="0.35">
      <c r="A51" s="23" t="s">
        <v>78</v>
      </c>
      <c r="B51" s="23" t="s">
        <v>81</v>
      </c>
      <c r="C51" s="23" t="s">
        <v>14</v>
      </c>
      <c r="D51" s="23" t="s">
        <v>82</v>
      </c>
      <c r="E51" s="66">
        <v>540605</v>
      </c>
      <c r="F51" s="23" t="s">
        <v>14</v>
      </c>
      <c r="G51" s="23" t="s">
        <v>60</v>
      </c>
      <c r="H51" s="23" t="s">
        <v>83</v>
      </c>
      <c r="I51" s="23" t="s">
        <v>46</v>
      </c>
      <c r="J51" s="23" t="s">
        <v>14</v>
      </c>
      <c r="K51" s="23" t="s">
        <v>14</v>
      </c>
    </row>
    <row r="52" spans="1:11" ht="93.6" x14ac:dyDescent="0.35">
      <c r="A52" s="23" t="s">
        <v>74</v>
      </c>
      <c r="B52" s="23" t="s">
        <v>13</v>
      </c>
      <c r="C52" s="23" t="s">
        <v>72</v>
      </c>
      <c r="D52" s="23" t="s">
        <v>84</v>
      </c>
      <c r="E52" s="66">
        <v>59918.95</v>
      </c>
      <c r="F52" s="23" t="s">
        <v>14</v>
      </c>
      <c r="G52" s="23" t="s">
        <v>85</v>
      </c>
      <c r="H52" s="26" t="s">
        <v>86</v>
      </c>
      <c r="I52" s="26" t="s">
        <v>49</v>
      </c>
      <c r="J52" s="23" t="s">
        <v>14</v>
      </c>
      <c r="K52" s="23" t="s">
        <v>14</v>
      </c>
    </row>
    <row r="53" spans="1:11" x14ac:dyDescent="0.35">
      <c r="B53" s="61"/>
      <c r="C53" s="61"/>
      <c r="D53" s="61"/>
      <c r="E53" s="54"/>
      <c r="F53" s="61"/>
      <c r="G53" s="61"/>
      <c r="H53" s="61"/>
      <c r="I53" s="61"/>
      <c r="J53" s="61"/>
      <c r="K53" s="61"/>
    </row>
    <row r="54" spans="1:11" ht="19.95" customHeight="1" x14ac:dyDescent="0.35"/>
    <row r="55" spans="1:11" ht="19.95" customHeight="1" x14ac:dyDescent="0.35">
      <c r="A55" s="1" t="s">
        <v>87</v>
      </c>
      <c r="B55" s="1"/>
      <c r="C55" s="1"/>
      <c r="D55" s="1"/>
      <c r="E55" s="1"/>
      <c r="F55" s="1"/>
      <c r="G55" s="1"/>
      <c r="H55" s="1"/>
      <c r="I55" s="1"/>
      <c r="J55" s="1"/>
      <c r="K55" s="2"/>
    </row>
    <row r="56" spans="1:11" ht="19.95" customHeight="1" x14ac:dyDescent="0.35">
      <c r="B56" s="36"/>
      <c r="C56" s="37"/>
      <c r="D56" s="38"/>
      <c r="E56" s="39"/>
      <c r="F56" s="40"/>
      <c r="G56" s="37"/>
      <c r="H56" s="37"/>
      <c r="I56" s="37"/>
      <c r="J56" s="41"/>
      <c r="K56" s="38"/>
    </row>
    <row r="57" spans="1:11" ht="19.95" customHeight="1" x14ac:dyDescent="0.35">
      <c r="A57" s="42" t="s">
        <v>1</v>
      </c>
      <c r="B57" s="42" t="s">
        <v>2</v>
      </c>
      <c r="C57" s="42" t="s">
        <v>3</v>
      </c>
      <c r="D57" s="42" t="s">
        <v>4</v>
      </c>
      <c r="E57" s="43" t="s">
        <v>5</v>
      </c>
      <c r="F57" s="42" t="s">
        <v>6</v>
      </c>
      <c r="G57" s="42" t="s">
        <v>7</v>
      </c>
      <c r="H57" s="42" t="s">
        <v>8</v>
      </c>
      <c r="I57" s="42" t="s">
        <v>9</v>
      </c>
      <c r="J57" s="42" t="s">
        <v>10</v>
      </c>
      <c r="K57" s="42" t="s">
        <v>11</v>
      </c>
    </row>
    <row r="58" spans="1:11" ht="19.95" customHeight="1" x14ac:dyDescent="0.35">
      <c r="A58" s="42"/>
      <c r="B58" s="42"/>
      <c r="C58" s="44"/>
      <c r="D58" s="42"/>
      <c r="E58" s="45"/>
      <c r="F58" s="46"/>
      <c r="G58" s="44"/>
      <c r="H58" s="44"/>
      <c r="I58" s="44"/>
      <c r="J58" s="47"/>
      <c r="K58" s="48"/>
    </row>
    <row r="59" spans="1:11" ht="78" customHeight="1" x14ac:dyDescent="0.35">
      <c r="A59" s="58" t="s">
        <v>88</v>
      </c>
      <c r="B59" s="59" t="s">
        <v>13</v>
      </c>
      <c r="C59" s="59" t="s">
        <v>72</v>
      </c>
      <c r="D59" s="30" t="s">
        <v>89</v>
      </c>
      <c r="E59" s="67">
        <f>ROUND(40000/1.21,2)</f>
        <v>33057.85</v>
      </c>
      <c r="F59" s="59" t="s">
        <v>14</v>
      </c>
      <c r="G59" s="59" t="s">
        <v>39</v>
      </c>
      <c r="H59" s="59" t="s">
        <v>90</v>
      </c>
      <c r="I59" s="59" t="s">
        <v>91</v>
      </c>
      <c r="J59" s="59" t="s">
        <v>92</v>
      </c>
      <c r="K59" s="59" t="s">
        <v>92</v>
      </c>
    </row>
    <row r="60" spans="1:11" ht="78" customHeight="1" x14ac:dyDescent="0.35">
      <c r="A60" s="30" t="s">
        <v>93</v>
      </c>
      <c r="B60" s="59" t="s">
        <v>94</v>
      </c>
      <c r="C60" s="59" t="s">
        <v>14</v>
      </c>
      <c r="D60" s="30" t="s">
        <v>95</v>
      </c>
      <c r="E60" s="67">
        <f>ROUND(2394009.85/1.21,2)</f>
        <v>1978520.54</v>
      </c>
      <c r="F60" s="59" t="s">
        <v>14</v>
      </c>
      <c r="G60" s="59" t="s">
        <v>39</v>
      </c>
      <c r="H60" s="59" t="s">
        <v>96</v>
      </c>
      <c r="I60" s="30" t="s">
        <v>97</v>
      </c>
      <c r="J60" s="59" t="s">
        <v>92</v>
      </c>
      <c r="K60" s="59" t="s">
        <v>92</v>
      </c>
    </row>
    <row r="61" spans="1:11" ht="78" customHeight="1" x14ac:dyDescent="0.35">
      <c r="A61" s="58" t="s">
        <v>88</v>
      </c>
      <c r="B61" s="59" t="s">
        <v>13</v>
      </c>
      <c r="C61" s="59" t="s">
        <v>72</v>
      </c>
      <c r="D61" s="30" t="s">
        <v>98</v>
      </c>
      <c r="E61" s="67">
        <f>ROUND(40000/1.21,2)</f>
        <v>33057.85</v>
      </c>
      <c r="F61" s="68" t="s">
        <v>72</v>
      </c>
      <c r="G61" s="68" t="s">
        <v>39</v>
      </c>
      <c r="H61" s="59" t="s">
        <v>99</v>
      </c>
      <c r="I61" s="59" t="s">
        <v>100</v>
      </c>
      <c r="J61" s="59" t="s">
        <v>92</v>
      </c>
      <c r="K61" s="59" t="s">
        <v>92</v>
      </c>
    </row>
    <row r="62" spans="1:11" ht="78" customHeight="1" x14ac:dyDescent="0.35">
      <c r="A62" s="58" t="s">
        <v>88</v>
      </c>
      <c r="B62" s="59" t="s">
        <v>13</v>
      </c>
      <c r="C62" s="59" t="s">
        <v>72</v>
      </c>
      <c r="D62" s="30" t="s">
        <v>101</v>
      </c>
      <c r="E62" s="67">
        <f>ROUND(10300/1.21*1.2,2)</f>
        <v>10214.879999999999</v>
      </c>
      <c r="F62" s="68"/>
      <c r="G62" s="68"/>
      <c r="H62" s="59" t="s">
        <v>102</v>
      </c>
      <c r="I62" s="59" t="s">
        <v>91</v>
      </c>
      <c r="J62" s="59" t="s">
        <v>92</v>
      </c>
      <c r="K62" s="59" t="s">
        <v>92</v>
      </c>
    </row>
    <row r="63" spans="1:11" ht="78" customHeight="1" x14ac:dyDescent="0.35">
      <c r="A63" s="58" t="s">
        <v>88</v>
      </c>
      <c r="B63" s="59" t="s">
        <v>13</v>
      </c>
      <c r="C63" s="59" t="s">
        <v>103</v>
      </c>
      <c r="D63" s="30" t="s">
        <v>104</v>
      </c>
      <c r="E63" s="67">
        <f>ROUND(3000/1.21,2)</f>
        <v>2479.34</v>
      </c>
      <c r="F63" s="68"/>
      <c r="G63" s="68"/>
      <c r="H63" s="59" t="s">
        <v>105</v>
      </c>
      <c r="I63" s="59" t="s">
        <v>100</v>
      </c>
      <c r="J63" s="59" t="s">
        <v>92</v>
      </c>
      <c r="K63" s="59" t="s">
        <v>92</v>
      </c>
    </row>
    <row r="64" spans="1:11" ht="93.6" customHeight="1" x14ac:dyDescent="0.35">
      <c r="A64" s="30" t="s">
        <v>93</v>
      </c>
      <c r="B64" s="59" t="s">
        <v>20</v>
      </c>
      <c r="C64" s="59" t="s">
        <v>14</v>
      </c>
      <c r="D64" s="30" t="s">
        <v>106</v>
      </c>
      <c r="E64" s="69">
        <f>ROUND(169097.84*2/1.21*1.2,2)</f>
        <v>335400.67</v>
      </c>
      <c r="F64" s="59" t="s">
        <v>72</v>
      </c>
      <c r="G64" s="59" t="s">
        <v>39</v>
      </c>
      <c r="H64" s="59" t="s">
        <v>107</v>
      </c>
      <c r="I64" s="59" t="s">
        <v>24</v>
      </c>
      <c r="J64" s="59" t="s">
        <v>72</v>
      </c>
      <c r="K64" s="59" t="s">
        <v>108</v>
      </c>
    </row>
    <row r="65" spans="1:11" ht="93.6" customHeight="1" x14ac:dyDescent="0.35">
      <c r="A65" s="30" t="s">
        <v>12</v>
      </c>
      <c r="B65" s="59" t="s">
        <v>20</v>
      </c>
      <c r="C65" s="59" t="s">
        <v>14</v>
      </c>
      <c r="D65" s="30" t="s">
        <v>109</v>
      </c>
      <c r="E65" s="69">
        <f>ROUND((14*1404)*2/1.21*1.2,2)</f>
        <v>38987.11</v>
      </c>
      <c r="F65" s="59"/>
      <c r="G65" s="59" t="s">
        <v>39</v>
      </c>
      <c r="H65" s="59" t="s">
        <v>110</v>
      </c>
      <c r="I65" s="59" t="s">
        <v>24</v>
      </c>
      <c r="J65" s="59" t="s">
        <v>72</v>
      </c>
      <c r="K65" s="59" t="s">
        <v>108</v>
      </c>
    </row>
    <row r="66" spans="1:11" ht="78" customHeight="1" x14ac:dyDescent="0.35">
      <c r="A66" s="58" t="s">
        <v>88</v>
      </c>
      <c r="B66" s="59" t="s">
        <v>20</v>
      </c>
      <c r="C66" s="59" t="s">
        <v>72</v>
      </c>
      <c r="D66" s="30" t="s">
        <v>111</v>
      </c>
      <c r="E66" s="67">
        <f>ROUND(16500/1.1*1.2,2)</f>
        <v>18000</v>
      </c>
      <c r="F66" s="59" t="s">
        <v>14</v>
      </c>
      <c r="G66" s="59" t="s">
        <v>39</v>
      </c>
      <c r="H66" s="59" t="s">
        <v>112</v>
      </c>
      <c r="I66" s="59" t="s">
        <v>18</v>
      </c>
      <c r="J66" s="59" t="s">
        <v>108</v>
      </c>
      <c r="K66" s="59" t="s">
        <v>92</v>
      </c>
    </row>
    <row r="67" spans="1:11" ht="64.8" customHeight="1" x14ac:dyDescent="0.35">
      <c r="A67" s="70" t="s">
        <v>12</v>
      </c>
      <c r="B67" s="68" t="s">
        <v>20</v>
      </c>
      <c r="C67" s="68" t="s">
        <v>14</v>
      </c>
      <c r="D67" s="30" t="s">
        <v>113</v>
      </c>
      <c r="E67" s="67">
        <f>ROUND((707.61+3278+530.71+2458.5+12465+9339.69+359.54+8850.61+742.1)/1.21*4*1.2,2)</f>
        <v>153646.65</v>
      </c>
      <c r="F67" s="68" t="s">
        <v>72</v>
      </c>
      <c r="G67" s="68" t="s">
        <v>39</v>
      </c>
      <c r="H67" s="59" t="s">
        <v>114</v>
      </c>
      <c r="I67" s="59" t="s">
        <v>24</v>
      </c>
      <c r="J67" s="59" t="s">
        <v>108</v>
      </c>
      <c r="K67" s="59" t="s">
        <v>92</v>
      </c>
    </row>
    <row r="68" spans="1:11" ht="109.8" customHeight="1" x14ac:dyDescent="0.35">
      <c r="A68" s="70" t="s">
        <v>115</v>
      </c>
      <c r="B68" s="68"/>
      <c r="C68" s="68"/>
      <c r="D68" s="30" t="s">
        <v>116</v>
      </c>
      <c r="E68" s="67">
        <f>ROUND((4980.34+1706.1)/1.21*1.2*4,2)</f>
        <v>26524.720000000001</v>
      </c>
      <c r="F68" s="68"/>
      <c r="G68" s="68"/>
      <c r="H68" s="59" t="s">
        <v>117</v>
      </c>
      <c r="I68" s="59" t="s">
        <v>24</v>
      </c>
      <c r="J68" s="59" t="s">
        <v>108</v>
      </c>
      <c r="K68" s="59" t="s">
        <v>92</v>
      </c>
    </row>
    <row r="69" spans="1:11" ht="90" customHeight="1" x14ac:dyDescent="0.35">
      <c r="A69" s="58" t="s">
        <v>88</v>
      </c>
      <c r="B69" s="59" t="s">
        <v>13</v>
      </c>
      <c r="C69" s="59" t="s">
        <v>72</v>
      </c>
      <c r="D69" s="30" t="s">
        <v>118</v>
      </c>
      <c r="E69" s="67">
        <f>(5150*5)</f>
        <v>25750</v>
      </c>
      <c r="F69" s="71" t="s">
        <v>14</v>
      </c>
      <c r="G69" s="59" t="s">
        <v>60</v>
      </c>
      <c r="H69" s="59" t="s">
        <v>119</v>
      </c>
      <c r="I69" s="72" t="s">
        <v>120</v>
      </c>
      <c r="J69" s="59" t="s">
        <v>72</v>
      </c>
      <c r="K69" s="59" t="s">
        <v>14</v>
      </c>
    </row>
    <row r="70" spans="1:11" ht="78" customHeight="1" x14ac:dyDescent="0.35">
      <c r="A70" s="58" t="s">
        <v>121</v>
      </c>
      <c r="B70" s="73" t="s">
        <v>13</v>
      </c>
      <c r="C70" s="73" t="s">
        <v>72</v>
      </c>
      <c r="D70" s="30" t="s">
        <v>122</v>
      </c>
      <c r="E70" s="67">
        <f>ROUND(45000/1.21,2)</f>
        <v>37190.080000000002</v>
      </c>
      <c r="F70" s="73" t="s">
        <v>72</v>
      </c>
      <c r="G70" s="74" t="s">
        <v>60</v>
      </c>
      <c r="H70" s="59" t="s">
        <v>123</v>
      </c>
      <c r="I70" s="59" t="s">
        <v>124</v>
      </c>
      <c r="J70" s="23" t="s">
        <v>14</v>
      </c>
      <c r="K70" s="75" t="s">
        <v>14</v>
      </c>
    </row>
    <row r="71" spans="1:11" ht="78" customHeight="1" x14ac:dyDescent="0.35">
      <c r="A71" s="58" t="s">
        <v>121</v>
      </c>
      <c r="B71" s="76"/>
      <c r="C71" s="76"/>
      <c r="D71" s="30" t="s">
        <v>125</v>
      </c>
      <c r="E71" s="67">
        <f>ROUND(20000/1.21,2)</f>
        <v>16528.93</v>
      </c>
      <c r="F71" s="76"/>
      <c r="G71" s="77"/>
      <c r="H71" s="59" t="s">
        <v>126</v>
      </c>
      <c r="I71" s="59" t="s">
        <v>127</v>
      </c>
      <c r="J71" s="23" t="s">
        <v>14</v>
      </c>
      <c r="K71" s="75" t="s">
        <v>14</v>
      </c>
    </row>
    <row r="72" spans="1:11" ht="78" customHeight="1" x14ac:dyDescent="0.35">
      <c r="A72" s="30" t="s">
        <v>93</v>
      </c>
      <c r="B72" s="59" t="s">
        <v>94</v>
      </c>
      <c r="C72" s="59" t="s">
        <v>14</v>
      </c>
      <c r="D72" s="30" t="s">
        <v>128</v>
      </c>
      <c r="E72" s="67">
        <f>ROUND(833081.79/1.21,2)</f>
        <v>688497.35</v>
      </c>
      <c r="F72" s="59" t="s">
        <v>14</v>
      </c>
      <c r="G72" s="59" t="s">
        <v>60</v>
      </c>
      <c r="H72" s="59" t="s">
        <v>129</v>
      </c>
      <c r="I72" s="30" t="s">
        <v>130</v>
      </c>
      <c r="J72" s="59" t="s">
        <v>92</v>
      </c>
      <c r="K72" s="59" t="s">
        <v>92</v>
      </c>
    </row>
    <row r="73" spans="1:11" ht="78" customHeight="1" x14ac:dyDescent="0.35">
      <c r="A73" s="58" t="s">
        <v>121</v>
      </c>
      <c r="B73" s="59" t="s">
        <v>20</v>
      </c>
      <c r="C73" s="59" t="s">
        <v>72</v>
      </c>
      <c r="D73" s="30" t="s">
        <v>131</v>
      </c>
      <c r="E73" s="67">
        <f>ROUND((3000/1.21)*4*1.2,2)</f>
        <v>11900.83</v>
      </c>
      <c r="F73" s="59" t="s">
        <v>14</v>
      </c>
      <c r="G73" s="59" t="s">
        <v>60</v>
      </c>
      <c r="H73" s="59" t="s">
        <v>132</v>
      </c>
      <c r="I73" s="59" t="s">
        <v>24</v>
      </c>
      <c r="J73" s="59" t="s">
        <v>133</v>
      </c>
      <c r="K73" s="59" t="s">
        <v>134</v>
      </c>
    </row>
    <row r="74" spans="1:11" ht="78" customHeight="1" x14ac:dyDescent="0.35">
      <c r="A74" s="58" t="s">
        <v>88</v>
      </c>
      <c r="B74" s="68" t="s">
        <v>135</v>
      </c>
      <c r="C74" s="68" t="s">
        <v>72</v>
      </c>
      <c r="D74" s="30" t="s">
        <v>136</v>
      </c>
      <c r="E74" s="67">
        <f>ROUND(1500/1.21*4,2)</f>
        <v>4958.68</v>
      </c>
      <c r="F74" s="68" t="s">
        <v>72</v>
      </c>
      <c r="G74" s="68" t="s">
        <v>60</v>
      </c>
      <c r="H74" s="70" t="s">
        <v>137</v>
      </c>
      <c r="I74" s="59" t="s">
        <v>138</v>
      </c>
      <c r="J74" s="59" t="s">
        <v>133</v>
      </c>
      <c r="K74" s="59" t="s">
        <v>92</v>
      </c>
    </row>
    <row r="75" spans="1:11" ht="78" customHeight="1" x14ac:dyDescent="0.35">
      <c r="A75" s="58" t="s">
        <v>88</v>
      </c>
      <c r="B75" s="68"/>
      <c r="C75" s="68"/>
      <c r="D75" s="30" t="s">
        <v>139</v>
      </c>
      <c r="E75" s="67">
        <f>ROUND(1000/1.21*4,2)</f>
        <v>3305.79</v>
      </c>
      <c r="F75" s="68"/>
      <c r="G75" s="68"/>
      <c r="H75" s="70"/>
      <c r="I75" s="59" t="s">
        <v>138</v>
      </c>
      <c r="J75" s="59" t="s">
        <v>133</v>
      </c>
      <c r="K75" s="59" t="s">
        <v>92</v>
      </c>
    </row>
    <row r="76" spans="1:11" ht="78" customHeight="1" x14ac:dyDescent="0.35">
      <c r="A76" s="58" t="s">
        <v>88</v>
      </c>
      <c r="B76" s="68"/>
      <c r="C76" s="68"/>
      <c r="D76" s="30" t="s">
        <v>140</v>
      </c>
      <c r="E76" s="67">
        <f>ROUND(1000/1.21*4,2)</f>
        <v>3305.79</v>
      </c>
      <c r="F76" s="68"/>
      <c r="G76" s="68"/>
      <c r="H76" s="70"/>
      <c r="I76" s="59" t="s">
        <v>138</v>
      </c>
      <c r="J76" s="59" t="s">
        <v>133</v>
      </c>
      <c r="K76" s="59" t="s">
        <v>92</v>
      </c>
    </row>
    <row r="77" spans="1:11" ht="93.6" x14ac:dyDescent="0.35">
      <c r="A77" s="30" t="s">
        <v>12</v>
      </c>
      <c r="B77" s="30" t="s">
        <v>141</v>
      </c>
      <c r="C77" s="59" t="s">
        <v>14</v>
      </c>
      <c r="D77" s="30" t="s">
        <v>142</v>
      </c>
      <c r="E77" s="67">
        <f>ROUND((17850+7650+2550+6375)/1.21*4*1.2,2)</f>
        <v>136561.98000000001</v>
      </c>
      <c r="F77" s="59" t="s">
        <v>14</v>
      </c>
      <c r="G77" s="59" t="s">
        <v>60</v>
      </c>
      <c r="H77" s="59" t="s">
        <v>143</v>
      </c>
      <c r="I77" s="59" t="s">
        <v>138</v>
      </c>
      <c r="J77" s="59" t="s">
        <v>108</v>
      </c>
      <c r="K77" s="59" t="s">
        <v>92</v>
      </c>
    </row>
    <row r="78" spans="1:11" ht="62.4" customHeight="1" x14ac:dyDescent="0.35">
      <c r="A78" s="58" t="s">
        <v>88</v>
      </c>
      <c r="B78" s="59" t="s">
        <v>20</v>
      </c>
      <c r="C78" s="59" t="s">
        <v>72</v>
      </c>
      <c r="D78" s="30" t="s">
        <v>144</v>
      </c>
      <c r="E78" s="67">
        <f>ROUND(4000/1.21*1.2*2,2)</f>
        <v>7933.88</v>
      </c>
      <c r="F78" s="59" t="s">
        <v>14</v>
      </c>
      <c r="G78" s="59" t="s">
        <v>60</v>
      </c>
      <c r="H78" s="59" t="s">
        <v>145</v>
      </c>
      <c r="I78" s="59" t="s">
        <v>146</v>
      </c>
      <c r="J78" s="59" t="s">
        <v>108</v>
      </c>
      <c r="K78" s="59" t="s">
        <v>92</v>
      </c>
    </row>
    <row r="79" spans="1:11" ht="78" customHeight="1" x14ac:dyDescent="0.35">
      <c r="A79" s="58" t="s">
        <v>88</v>
      </c>
      <c r="B79" s="59" t="s">
        <v>20</v>
      </c>
      <c r="C79" s="59" t="s">
        <v>72</v>
      </c>
      <c r="D79" s="30" t="s">
        <v>147</v>
      </c>
      <c r="E79" s="67">
        <f>180*4*5</f>
        <v>3600</v>
      </c>
      <c r="F79" s="59" t="s">
        <v>14</v>
      </c>
      <c r="G79" s="59" t="s">
        <v>60</v>
      </c>
      <c r="H79" s="59" t="s">
        <v>148</v>
      </c>
      <c r="I79" s="59" t="s">
        <v>149</v>
      </c>
      <c r="J79" s="59" t="s">
        <v>92</v>
      </c>
      <c r="K79" s="59" t="s">
        <v>92</v>
      </c>
    </row>
    <row r="80" spans="1:11" ht="78" customHeight="1" x14ac:dyDescent="0.35">
      <c r="A80" s="70" t="s">
        <v>150</v>
      </c>
      <c r="B80" s="68" t="s">
        <v>20</v>
      </c>
      <c r="C80" s="68" t="s">
        <v>14</v>
      </c>
      <c r="D80" s="70" t="s">
        <v>151</v>
      </c>
      <c r="E80" s="78">
        <f>ROUND((82131.04+30000)/1.21*1.2*4,2)</f>
        <v>444817.35</v>
      </c>
      <c r="F80" s="79" t="s">
        <v>14</v>
      </c>
      <c r="G80" s="68" t="s">
        <v>60</v>
      </c>
      <c r="H80" s="68" t="s">
        <v>152</v>
      </c>
      <c r="I80" s="68" t="s">
        <v>24</v>
      </c>
      <c r="J80" s="30" t="s">
        <v>72</v>
      </c>
      <c r="K80" s="30" t="s">
        <v>14</v>
      </c>
    </row>
    <row r="81" spans="1:11" ht="15.6" customHeight="1" x14ac:dyDescent="0.35">
      <c r="A81" s="70" t="s">
        <v>115</v>
      </c>
      <c r="B81" s="68"/>
      <c r="C81" s="68"/>
      <c r="D81" s="70"/>
      <c r="E81" s="78"/>
      <c r="F81" s="79"/>
      <c r="G81" s="68"/>
      <c r="H81" s="68"/>
      <c r="I81" s="68"/>
      <c r="J81" s="30" t="s">
        <v>72</v>
      </c>
      <c r="K81" s="30" t="s">
        <v>14</v>
      </c>
    </row>
    <row r="82" spans="1:11" ht="109.2" customHeight="1" x14ac:dyDescent="0.35">
      <c r="A82" s="70" t="s">
        <v>88</v>
      </c>
      <c r="B82" s="68" t="s">
        <v>135</v>
      </c>
      <c r="C82" s="59" t="s">
        <v>72</v>
      </c>
      <c r="D82" s="30" t="s">
        <v>153</v>
      </c>
      <c r="E82" s="67">
        <f>ROUND(4000/1.21*1.2*4,2)</f>
        <v>15867.77</v>
      </c>
      <c r="F82" s="68" t="s">
        <v>72</v>
      </c>
      <c r="G82" s="68" t="s">
        <v>154</v>
      </c>
      <c r="H82" s="59" t="s">
        <v>155</v>
      </c>
      <c r="I82" s="59" t="s">
        <v>130</v>
      </c>
      <c r="J82" s="59" t="s">
        <v>108</v>
      </c>
      <c r="K82" s="59" t="s">
        <v>92</v>
      </c>
    </row>
    <row r="83" spans="1:11" ht="78" customHeight="1" x14ac:dyDescent="0.35">
      <c r="A83" s="70"/>
      <c r="B83" s="68"/>
      <c r="C83" s="59" t="s">
        <v>72</v>
      </c>
      <c r="D83" s="30" t="s">
        <v>156</v>
      </c>
      <c r="E83" s="67">
        <f>ROUND(5500/1.21*1.2*4,2)</f>
        <v>21818.18</v>
      </c>
      <c r="F83" s="68"/>
      <c r="G83" s="68"/>
      <c r="H83" s="59" t="s">
        <v>157</v>
      </c>
      <c r="I83" s="59" t="s">
        <v>130</v>
      </c>
      <c r="J83" s="59" t="s">
        <v>108</v>
      </c>
      <c r="K83" s="59" t="s">
        <v>92</v>
      </c>
    </row>
    <row r="84" spans="1:11" ht="78" x14ac:dyDescent="0.35">
      <c r="A84" s="58" t="s">
        <v>88</v>
      </c>
      <c r="B84" s="59" t="s">
        <v>20</v>
      </c>
      <c r="C84" s="59" t="s">
        <v>72</v>
      </c>
      <c r="D84" s="30" t="s">
        <v>158</v>
      </c>
      <c r="E84" s="67">
        <f>ROUND((7800+6000)/1.21*1.2*4,2)</f>
        <v>54743.8</v>
      </c>
      <c r="F84" s="59" t="s">
        <v>14</v>
      </c>
      <c r="G84" s="59" t="s">
        <v>154</v>
      </c>
      <c r="H84" s="59" t="s">
        <v>159</v>
      </c>
      <c r="I84" s="59" t="s">
        <v>130</v>
      </c>
      <c r="J84" s="59" t="s">
        <v>108</v>
      </c>
      <c r="K84" s="59" t="s">
        <v>92</v>
      </c>
    </row>
    <row r="85" spans="1:11" ht="93.6" x14ac:dyDescent="0.35">
      <c r="A85" s="30" t="s">
        <v>12</v>
      </c>
      <c r="B85" s="59" t="s">
        <v>160</v>
      </c>
      <c r="C85" s="59" t="s">
        <v>14</v>
      </c>
      <c r="D85" s="30" t="s">
        <v>161</v>
      </c>
      <c r="E85" s="67">
        <f>ROUND(181500/1.21,2)</f>
        <v>150000</v>
      </c>
      <c r="F85" s="59" t="s">
        <v>14</v>
      </c>
      <c r="G85" s="59" t="s">
        <v>154</v>
      </c>
      <c r="H85" s="59" t="s">
        <v>162</v>
      </c>
      <c r="I85" s="30" t="s">
        <v>130</v>
      </c>
      <c r="J85" s="59" t="s">
        <v>92</v>
      </c>
      <c r="K85" s="59" t="s">
        <v>92</v>
      </c>
    </row>
    <row r="91" spans="1:11" ht="19.95" customHeight="1" x14ac:dyDescent="0.35">
      <c r="B91" s="80"/>
    </row>
    <row r="92" spans="1:11" ht="19.95" customHeight="1" x14ac:dyDescent="0.35">
      <c r="A92" s="1" t="s">
        <v>163</v>
      </c>
      <c r="B92" s="1"/>
      <c r="C92" s="1"/>
      <c r="D92" s="1"/>
      <c r="E92" s="1"/>
      <c r="F92" s="1"/>
      <c r="G92" s="1"/>
      <c r="H92" s="1"/>
      <c r="I92" s="1"/>
      <c r="J92" s="1"/>
      <c r="K92" s="2"/>
    </row>
    <row r="93" spans="1:11" ht="19.95" customHeight="1" x14ac:dyDescent="0.35">
      <c r="B93" s="36"/>
      <c r="C93" s="37"/>
      <c r="D93" s="38"/>
      <c r="E93" s="39"/>
      <c r="F93" s="40"/>
      <c r="G93" s="37"/>
      <c r="H93" s="37"/>
      <c r="I93" s="37"/>
      <c r="J93" s="41"/>
      <c r="K93" s="38"/>
    </row>
    <row r="94" spans="1:11" ht="19.95" customHeight="1" x14ac:dyDescent="0.35">
      <c r="A94" s="9" t="s">
        <v>1</v>
      </c>
      <c r="B94" s="42" t="s">
        <v>2</v>
      </c>
      <c r="C94" s="42" t="s">
        <v>3</v>
      </c>
      <c r="D94" s="11" t="s">
        <v>4</v>
      </c>
      <c r="E94" s="43" t="s">
        <v>5</v>
      </c>
      <c r="F94" s="42" t="s">
        <v>6</v>
      </c>
      <c r="G94" s="42" t="s">
        <v>7</v>
      </c>
      <c r="H94" s="42" t="s">
        <v>8</v>
      </c>
      <c r="I94" s="42" t="s">
        <v>9</v>
      </c>
      <c r="J94" s="42" t="s">
        <v>10</v>
      </c>
      <c r="K94" s="42" t="s">
        <v>11</v>
      </c>
    </row>
    <row r="95" spans="1:11" ht="19.95" customHeight="1" x14ac:dyDescent="0.35">
      <c r="A95" s="14"/>
      <c r="B95" s="42"/>
      <c r="C95" s="44"/>
      <c r="D95" s="16"/>
      <c r="E95" s="45"/>
      <c r="F95" s="46"/>
      <c r="G95" s="44"/>
      <c r="H95" s="44"/>
      <c r="I95" s="44"/>
      <c r="J95" s="47"/>
      <c r="K95" s="48"/>
    </row>
    <row r="96" spans="1:11" ht="93.6" x14ac:dyDescent="0.35">
      <c r="A96" s="58" t="s">
        <v>12</v>
      </c>
      <c r="B96" s="56" t="s">
        <v>20</v>
      </c>
      <c r="C96" s="24" t="s">
        <v>14</v>
      </c>
      <c r="D96" s="23" t="s">
        <v>164</v>
      </c>
      <c r="E96" s="29">
        <v>1188692.5</v>
      </c>
      <c r="F96" s="23" t="s">
        <v>72</v>
      </c>
      <c r="G96" s="26" t="s">
        <v>165</v>
      </c>
      <c r="H96" s="26" t="s">
        <v>166</v>
      </c>
      <c r="I96" s="27" t="s">
        <v>120</v>
      </c>
      <c r="J96" s="24" t="s">
        <v>72</v>
      </c>
      <c r="K96" s="24" t="s">
        <v>14</v>
      </c>
    </row>
    <row r="97" spans="1:11" ht="78" x14ac:dyDescent="0.35">
      <c r="A97" s="57" t="s">
        <v>167</v>
      </c>
      <c r="B97" s="56" t="s">
        <v>20</v>
      </c>
      <c r="C97" s="57" t="s">
        <v>72</v>
      </c>
      <c r="D97" s="23" t="s">
        <v>168</v>
      </c>
      <c r="E97" s="29">
        <v>52720</v>
      </c>
      <c r="F97" s="23" t="s">
        <v>14</v>
      </c>
      <c r="G97" s="26" t="s">
        <v>169</v>
      </c>
      <c r="H97" s="26" t="s">
        <v>170</v>
      </c>
      <c r="I97" s="81" t="s">
        <v>120</v>
      </c>
      <c r="J97" s="24" t="s">
        <v>14</v>
      </c>
      <c r="K97" s="24" t="s">
        <v>14</v>
      </c>
    </row>
    <row r="98" spans="1:11" ht="76.2" customHeight="1" x14ac:dyDescent="0.35">
      <c r="A98" s="57" t="s">
        <v>167</v>
      </c>
      <c r="B98" s="56" t="s">
        <v>20</v>
      </c>
      <c r="C98" s="57" t="s">
        <v>72</v>
      </c>
      <c r="D98" s="23" t="s">
        <v>171</v>
      </c>
      <c r="E98" s="29">
        <v>47291.34</v>
      </c>
      <c r="F98" s="23" t="s">
        <v>14</v>
      </c>
      <c r="G98" s="26" t="s">
        <v>169</v>
      </c>
      <c r="H98" s="24" t="s">
        <v>172</v>
      </c>
      <c r="I98" s="23" t="s">
        <v>173</v>
      </c>
      <c r="J98" s="24" t="s">
        <v>72</v>
      </c>
      <c r="K98" s="24" t="s">
        <v>14</v>
      </c>
    </row>
    <row r="99" spans="1:11" ht="94.8" customHeight="1" x14ac:dyDescent="0.35">
      <c r="A99" s="58" t="s">
        <v>12</v>
      </c>
      <c r="B99" s="57" t="s">
        <v>13</v>
      </c>
      <c r="C99" s="57" t="s">
        <v>14</v>
      </c>
      <c r="D99" s="57" t="s">
        <v>174</v>
      </c>
      <c r="E99" s="55">
        <v>192599.44</v>
      </c>
      <c r="F99" s="57" t="s">
        <v>14</v>
      </c>
      <c r="G99" s="26" t="s">
        <v>169</v>
      </c>
      <c r="H99" s="82" t="s">
        <v>175</v>
      </c>
      <c r="I99" s="83" t="s">
        <v>24</v>
      </c>
      <c r="J99" s="82" t="s">
        <v>72</v>
      </c>
      <c r="K99" s="82" t="s">
        <v>14</v>
      </c>
    </row>
    <row r="100" spans="1:11" ht="94.8" customHeight="1" x14ac:dyDescent="0.35">
      <c r="A100" s="58" t="s">
        <v>12</v>
      </c>
      <c r="B100" s="57" t="s">
        <v>176</v>
      </c>
      <c r="C100" s="56" t="s">
        <v>14</v>
      </c>
      <c r="D100" s="57" t="s">
        <v>177</v>
      </c>
      <c r="E100" s="55">
        <v>177000</v>
      </c>
      <c r="F100" s="57" t="s">
        <v>14</v>
      </c>
      <c r="G100" s="26" t="s">
        <v>169</v>
      </c>
      <c r="H100" s="57" t="s">
        <v>178</v>
      </c>
      <c r="I100" s="56" t="s">
        <v>179</v>
      </c>
      <c r="J100" s="56" t="s">
        <v>19</v>
      </c>
      <c r="K100" s="56" t="s">
        <v>14</v>
      </c>
    </row>
    <row r="101" spans="1:11" ht="78" x14ac:dyDescent="0.35">
      <c r="A101" s="57" t="s">
        <v>167</v>
      </c>
      <c r="B101" s="57" t="s">
        <v>176</v>
      </c>
      <c r="C101" s="56" t="s">
        <v>103</v>
      </c>
      <c r="D101" s="84" t="s">
        <v>180</v>
      </c>
      <c r="E101" s="55">
        <v>48350</v>
      </c>
      <c r="F101" s="57" t="s">
        <v>14</v>
      </c>
      <c r="G101" s="26" t="s">
        <v>169</v>
      </c>
      <c r="H101" s="57" t="s">
        <v>181</v>
      </c>
      <c r="I101" s="85" t="s">
        <v>182</v>
      </c>
      <c r="J101" s="56" t="s">
        <v>14</v>
      </c>
      <c r="K101" s="56" t="s">
        <v>14</v>
      </c>
    </row>
    <row r="102" spans="1:11" ht="93.6" x14ac:dyDescent="0.35">
      <c r="A102" s="58" t="s">
        <v>12</v>
      </c>
      <c r="B102" s="56" t="s">
        <v>20</v>
      </c>
      <c r="C102" s="56" t="s">
        <v>14</v>
      </c>
      <c r="D102" s="84" t="s">
        <v>183</v>
      </c>
      <c r="E102" s="55">
        <v>57486.52</v>
      </c>
      <c r="F102" s="57" t="s">
        <v>14</v>
      </c>
      <c r="G102" s="26" t="s">
        <v>169</v>
      </c>
      <c r="H102" s="57">
        <v>713562000</v>
      </c>
      <c r="I102" s="85" t="s">
        <v>184</v>
      </c>
      <c r="J102" s="57" t="s">
        <v>14</v>
      </c>
      <c r="K102" s="57" t="s">
        <v>14</v>
      </c>
    </row>
    <row r="103" spans="1:11" ht="140.4" x14ac:dyDescent="0.35">
      <c r="A103" s="57" t="s">
        <v>167</v>
      </c>
      <c r="B103" s="57" t="s">
        <v>13</v>
      </c>
      <c r="C103" s="57" t="s">
        <v>72</v>
      </c>
      <c r="D103" s="57" t="s">
        <v>185</v>
      </c>
      <c r="E103" s="55">
        <v>36000</v>
      </c>
      <c r="F103" s="57" t="s">
        <v>14</v>
      </c>
      <c r="G103" s="26" t="s">
        <v>169</v>
      </c>
      <c r="H103" s="57" t="s">
        <v>186</v>
      </c>
      <c r="I103" s="86" t="s">
        <v>187</v>
      </c>
      <c r="J103" s="57" t="s">
        <v>72</v>
      </c>
      <c r="K103" s="57" t="s">
        <v>14</v>
      </c>
    </row>
    <row r="104" spans="1:11" ht="78" x14ac:dyDescent="0.35">
      <c r="A104" s="57" t="s">
        <v>167</v>
      </c>
      <c r="B104" s="57" t="s">
        <v>13</v>
      </c>
      <c r="C104" s="57" t="s">
        <v>72</v>
      </c>
      <c r="D104" s="57" t="s">
        <v>188</v>
      </c>
      <c r="E104" s="55">
        <v>20000</v>
      </c>
      <c r="F104" s="57" t="s">
        <v>14</v>
      </c>
      <c r="G104" s="26" t="s">
        <v>169</v>
      </c>
      <c r="H104" s="57" t="s">
        <v>189</v>
      </c>
      <c r="I104" s="86" t="s">
        <v>49</v>
      </c>
      <c r="J104" s="56" t="s">
        <v>14</v>
      </c>
      <c r="K104" s="56" t="s">
        <v>14</v>
      </c>
    </row>
    <row r="105" spans="1:11" ht="78" x14ac:dyDescent="0.35">
      <c r="A105" s="57" t="s">
        <v>167</v>
      </c>
      <c r="B105" s="57" t="s">
        <v>20</v>
      </c>
      <c r="C105" s="57" t="s">
        <v>72</v>
      </c>
      <c r="D105" s="57" t="s">
        <v>190</v>
      </c>
      <c r="E105" s="55">
        <v>25000</v>
      </c>
      <c r="F105" s="57" t="s">
        <v>14</v>
      </c>
      <c r="G105" s="26" t="s">
        <v>169</v>
      </c>
      <c r="H105" s="57" t="s">
        <v>191</v>
      </c>
      <c r="I105" s="86" t="s">
        <v>49</v>
      </c>
      <c r="J105" s="57" t="s">
        <v>14</v>
      </c>
      <c r="K105" s="57" t="s">
        <v>14</v>
      </c>
    </row>
    <row r="106" spans="1:11" ht="78" x14ac:dyDescent="0.35">
      <c r="A106" s="57" t="s">
        <v>167</v>
      </c>
      <c r="B106" s="57" t="s">
        <v>20</v>
      </c>
      <c r="C106" s="57" t="s">
        <v>72</v>
      </c>
      <c r="D106" s="57" t="s">
        <v>192</v>
      </c>
      <c r="E106" s="55">
        <f>2*5*500</f>
        <v>5000</v>
      </c>
      <c r="F106" s="57" t="s">
        <v>14</v>
      </c>
      <c r="G106" s="26" t="s">
        <v>169</v>
      </c>
      <c r="H106" s="57">
        <v>50324200</v>
      </c>
      <c r="I106" s="86" t="s">
        <v>193</v>
      </c>
      <c r="J106" s="57" t="s">
        <v>14</v>
      </c>
      <c r="K106" s="57" t="s">
        <v>14</v>
      </c>
    </row>
    <row r="107" spans="1:11" ht="78" x14ac:dyDescent="0.35">
      <c r="A107" s="57" t="s">
        <v>167</v>
      </c>
      <c r="B107" s="56" t="s">
        <v>20</v>
      </c>
      <c r="C107" s="56" t="s">
        <v>72</v>
      </c>
      <c r="D107" s="57" t="s">
        <v>194</v>
      </c>
      <c r="E107" s="55">
        <v>12000</v>
      </c>
      <c r="F107" s="57" t="s">
        <v>14</v>
      </c>
      <c r="G107" s="26" t="s">
        <v>169</v>
      </c>
      <c r="H107" s="57">
        <v>45212290</v>
      </c>
      <c r="I107" s="56" t="s">
        <v>57</v>
      </c>
      <c r="J107" s="56" t="s">
        <v>14</v>
      </c>
      <c r="K107" s="56" t="s">
        <v>14</v>
      </c>
    </row>
    <row r="108" spans="1:11" ht="78" x14ac:dyDescent="0.35">
      <c r="A108" s="57" t="s">
        <v>167</v>
      </c>
      <c r="B108" s="57" t="s">
        <v>20</v>
      </c>
      <c r="C108" s="57" t="s">
        <v>72</v>
      </c>
      <c r="D108" s="57" t="s">
        <v>195</v>
      </c>
      <c r="E108" s="55">
        <v>30000</v>
      </c>
      <c r="F108" s="57" t="s">
        <v>14</v>
      </c>
      <c r="G108" s="26" t="s">
        <v>169</v>
      </c>
      <c r="H108" s="57">
        <v>50000000</v>
      </c>
      <c r="I108" s="86" t="s">
        <v>49</v>
      </c>
      <c r="J108" s="56" t="s">
        <v>14</v>
      </c>
      <c r="K108" s="56" t="s">
        <v>14</v>
      </c>
    </row>
    <row r="109" spans="1:11" ht="93.6" x14ac:dyDescent="0.35">
      <c r="A109" s="58" t="s">
        <v>12</v>
      </c>
      <c r="B109" s="57" t="s">
        <v>50</v>
      </c>
      <c r="C109" s="57" t="s">
        <v>14</v>
      </c>
      <c r="D109" s="57" t="s">
        <v>196</v>
      </c>
      <c r="E109" s="55">
        <v>3984529.8</v>
      </c>
      <c r="F109" s="57" t="s">
        <v>14</v>
      </c>
      <c r="G109" s="26" t="s">
        <v>197</v>
      </c>
      <c r="H109" s="87" t="s">
        <v>198</v>
      </c>
      <c r="I109" s="83" t="s">
        <v>91</v>
      </c>
      <c r="J109" s="82" t="s">
        <v>14</v>
      </c>
      <c r="K109" s="82" t="s">
        <v>14</v>
      </c>
    </row>
    <row r="110" spans="1:11" ht="93.6" x14ac:dyDescent="0.35">
      <c r="A110" s="58" t="s">
        <v>12</v>
      </c>
      <c r="B110" s="57" t="s">
        <v>50</v>
      </c>
      <c r="C110" s="57" t="s">
        <v>14</v>
      </c>
      <c r="D110" s="57" t="s">
        <v>199</v>
      </c>
      <c r="E110" s="55">
        <v>853757.06776859495</v>
      </c>
      <c r="F110" s="57" t="s">
        <v>14</v>
      </c>
      <c r="G110" s="57" t="s">
        <v>60</v>
      </c>
      <c r="H110" s="87" t="s">
        <v>198</v>
      </c>
      <c r="I110" s="83" t="s">
        <v>200</v>
      </c>
      <c r="J110" s="82" t="s">
        <v>14</v>
      </c>
      <c r="K110" s="82" t="s">
        <v>14</v>
      </c>
    </row>
    <row r="111" spans="1:11" ht="93.6" x14ac:dyDescent="0.35">
      <c r="A111" s="58" t="s">
        <v>12</v>
      </c>
      <c r="B111" s="88" t="s">
        <v>50</v>
      </c>
      <c r="C111" s="88" t="s">
        <v>14</v>
      </c>
      <c r="D111" s="88" t="s">
        <v>201</v>
      </c>
      <c r="E111" s="89">
        <v>546163.63636363635</v>
      </c>
      <c r="F111" s="88" t="s">
        <v>14</v>
      </c>
      <c r="G111" s="26" t="s">
        <v>197</v>
      </c>
      <c r="H111" s="90" t="s">
        <v>198</v>
      </c>
      <c r="I111" s="91" t="s">
        <v>202</v>
      </c>
      <c r="J111" s="92" t="s">
        <v>14</v>
      </c>
      <c r="K111" s="92" t="s">
        <v>14</v>
      </c>
    </row>
    <row r="112" spans="1:11" ht="93.6" x14ac:dyDescent="0.35">
      <c r="A112" s="58" t="s">
        <v>12</v>
      </c>
      <c r="B112" s="57" t="s">
        <v>50</v>
      </c>
      <c r="C112" s="57" t="s">
        <v>14</v>
      </c>
      <c r="D112" s="57" t="s">
        <v>203</v>
      </c>
      <c r="E112" s="55">
        <v>697223.30578512396</v>
      </c>
      <c r="F112" s="57" t="s">
        <v>14</v>
      </c>
      <c r="G112" s="57" t="s">
        <v>197</v>
      </c>
      <c r="H112" s="87" t="s">
        <v>198</v>
      </c>
      <c r="I112" s="83" t="s">
        <v>202</v>
      </c>
      <c r="J112" s="82" t="s">
        <v>14</v>
      </c>
      <c r="K112" s="82" t="s">
        <v>14</v>
      </c>
    </row>
    <row r="113" spans="1:11" ht="93.6" x14ac:dyDescent="0.35">
      <c r="A113" s="58" t="s">
        <v>12</v>
      </c>
      <c r="B113" s="57" t="s">
        <v>50</v>
      </c>
      <c r="C113" s="57" t="s">
        <v>14</v>
      </c>
      <c r="D113" s="57" t="s">
        <v>204</v>
      </c>
      <c r="E113" s="55">
        <v>843471.0743801652</v>
      </c>
      <c r="F113" s="57" t="s">
        <v>14</v>
      </c>
      <c r="G113" s="26" t="s">
        <v>197</v>
      </c>
      <c r="H113" s="87" t="s">
        <v>198</v>
      </c>
      <c r="I113" s="83" t="s">
        <v>202</v>
      </c>
      <c r="J113" s="82" t="s">
        <v>14</v>
      </c>
      <c r="K113" s="82" t="s">
        <v>14</v>
      </c>
    </row>
    <row r="114" spans="1:11" ht="93.6" x14ac:dyDescent="0.35">
      <c r="A114" s="58" t="s">
        <v>12</v>
      </c>
      <c r="B114" s="57" t="s">
        <v>13</v>
      </c>
      <c r="C114" s="57" t="s">
        <v>14</v>
      </c>
      <c r="D114" s="57" t="s">
        <v>205</v>
      </c>
      <c r="E114" s="55">
        <v>12396.694214876034</v>
      </c>
      <c r="F114" s="57" t="s">
        <v>14</v>
      </c>
      <c r="G114" s="57" t="s">
        <v>197</v>
      </c>
      <c r="H114" s="82">
        <v>44316400</v>
      </c>
      <c r="I114" s="83" t="s">
        <v>24</v>
      </c>
      <c r="J114" s="82" t="s">
        <v>72</v>
      </c>
      <c r="K114" s="82" t="s">
        <v>14</v>
      </c>
    </row>
    <row r="115" spans="1:11" ht="93.6" x14ac:dyDescent="0.35">
      <c r="A115" s="58" t="s">
        <v>12</v>
      </c>
      <c r="B115" s="57" t="s">
        <v>13</v>
      </c>
      <c r="C115" s="57" t="s">
        <v>14</v>
      </c>
      <c r="D115" s="57" t="s">
        <v>206</v>
      </c>
      <c r="E115" s="55">
        <v>12396.694214876034</v>
      </c>
      <c r="F115" s="57" t="s">
        <v>14</v>
      </c>
      <c r="G115" s="26" t="s">
        <v>197</v>
      </c>
      <c r="H115" s="82">
        <v>44316400</v>
      </c>
      <c r="I115" s="83" t="s">
        <v>24</v>
      </c>
      <c r="J115" s="82" t="s">
        <v>72</v>
      </c>
      <c r="K115" s="82" t="s">
        <v>14</v>
      </c>
    </row>
    <row r="116" spans="1:11" ht="78" x14ac:dyDescent="0.35">
      <c r="A116" s="57" t="s">
        <v>167</v>
      </c>
      <c r="B116" s="56" t="s">
        <v>20</v>
      </c>
      <c r="C116" s="57" t="s">
        <v>72</v>
      </c>
      <c r="D116" s="57" t="s">
        <v>207</v>
      </c>
      <c r="E116" s="55">
        <v>58000</v>
      </c>
      <c r="F116" s="57" t="s">
        <v>14</v>
      </c>
      <c r="G116" s="57" t="s">
        <v>197</v>
      </c>
      <c r="H116" s="57" t="s">
        <v>208</v>
      </c>
      <c r="I116" s="56" t="s">
        <v>46</v>
      </c>
      <c r="J116" s="56" t="s">
        <v>14</v>
      </c>
      <c r="K116" s="56" t="s">
        <v>14</v>
      </c>
    </row>
    <row r="117" spans="1:11" ht="78" x14ac:dyDescent="0.35">
      <c r="A117" s="57" t="s">
        <v>167</v>
      </c>
      <c r="B117" s="56" t="s">
        <v>20</v>
      </c>
      <c r="C117" s="57" t="s">
        <v>72</v>
      </c>
      <c r="D117" s="57" t="s">
        <v>209</v>
      </c>
      <c r="E117" s="55">
        <v>10000</v>
      </c>
      <c r="F117" s="57" t="s">
        <v>14</v>
      </c>
      <c r="G117" s="26" t="s">
        <v>197</v>
      </c>
      <c r="H117" s="57">
        <v>45212290</v>
      </c>
      <c r="I117" s="85" t="s">
        <v>49</v>
      </c>
      <c r="J117" s="56" t="s">
        <v>14</v>
      </c>
      <c r="K117" s="56" t="s">
        <v>14</v>
      </c>
    </row>
    <row r="118" spans="1:11" ht="93.6" x14ac:dyDescent="0.35">
      <c r="A118" s="58" t="s">
        <v>12</v>
      </c>
      <c r="B118" s="57" t="s">
        <v>13</v>
      </c>
      <c r="C118" s="57" t="s">
        <v>14</v>
      </c>
      <c r="D118" s="57" t="s">
        <v>210</v>
      </c>
      <c r="E118" s="55">
        <v>165289.25619834711</v>
      </c>
      <c r="F118" s="57" t="s">
        <v>14</v>
      </c>
      <c r="G118" s="26" t="s">
        <v>211</v>
      </c>
      <c r="H118" s="82" t="s">
        <v>175</v>
      </c>
      <c r="I118" s="83" t="s">
        <v>24</v>
      </c>
      <c r="J118" s="82" t="s">
        <v>72</v>
      </c>
      <c r="K118" s="82" t="s">
        <v>14</v>
      </c>
    </row>
    <row r="119" spans="1:11" ht="93.6" x14ac:dyDescent="0.35">
      <c r="A119" s="58" t="s">
        <v>12</v>
      </c>
      <c r="B119" s="57" t="s">
        <v>50</v>
      </c>
      <c r="C119" s="57" t="s">
        <v>14</v>
      </c>
      <c r="D119" s="57" t="s">
        <v>212</v>
      </c>
      <c r="E119" s="55">
        <v>2064857.17</v>
      </c>
      <c r="F119" s="57" t="s">
        <v>14</v>
      </c>
      <c r="G119" s="26" t="s">
        <v>213</v>
      </c>
      <c r="H119" s="87" t="s">
        <v>198</v>
      </c>
      <c r="I119" s="83" t="s">
        <v>184</v>
      </c>
      <c r="J119" s="82" t="s">
        <v>14</v>
      </c>
      <c r="K119" s="82" t="s">
        <v>14</v>
      </c>
    </row>
    <row r="120" spans="1:11" ht="78" x14ac:dyDescent="0.35">
      <c r="A120" s="57" t="s">
        <v>167</v>
      </c>
      <c r="B120" s="56" t="s">
        <v>13</v>
      </c>
      <c r="C120" s="56" t="s">
        <v>214</v>
      </c>
      <c r="D120" s="57" t="s">
        <v>215</v>
      </c>
      <c r="E120" s="55">
        <v>51054</v>
      </c>
      <c r="F120" s="57" t="s">
        <v>19</v>
      </c>
      <c r="G120" s="57" t="s">
        <v>216</v>
      </c>
      <c r="H120" s="86" t="s">
        <v>217</v>
      </c>
      <c r="I120" s="85" t="s">
        <v>218</v>
      </c>
      <c r="J120" s="56" t="s">
        <v>219</v>
      </c>
      <c r="K120" s="56" t="s">
        <v>14</v>
      </c>
    </row>
    <row r="121" spans="1:11" ht="78" x14ac:dyDescent="0.35">
      <c r="A121" s="57" t="s">
        <v>167</v>
      </c>
      <c r="B121" s="56" t="s">
        <v>20</v>
      </c>
      <c r="C121" s="56" t="s">
        <v>214</v>
      </c>
      <c r="D121" s="57" t="s">
        <v>220</v>
      </c>
      <c r="E121" s="55">
        <v>45000</v>
      </c>
      <c r="F121" s="57" t="s">
        <v>14</v>
      </c>
      <c r="G121" s="57" t="s">
        <v>216</v>
      </c>
      <c r="H121" s="86" t="s">
        <v>221</v>
      </c>
      <c r="I121" s="85" t="s">
        <v>179</v>
      </c>
      <c r="J121" s="56" t="s">
        <v>19</v>
      </c>
      <c r="K121" s="56" t="s">
        <v>14</v>
      </c>
    </row>
    <row r="122" spans="1:11" ht="19.95" customHeight="1" x14ac:dyDescent="0.35"/>
    <row r="123" spans="1:11" ht="19.95" customHeight="1" x14ac:dyDescent="0.35"/>
    <row r="124" spans="1:11" ht="19.95" customHeight="1" x14ac:dyDescent="0.35">
      <c r="A124" s="1" t="s">
        <v>222</v>
      </c>
      <c r="B124" s="1"/>
      <c r="C124" s="1"/>
      <c r="D124" s="1"/>
      <c r="E124" s="1"/>
      <c r="F124" s="1"/>
      <c r="G124" s="1"/>
      <c r="H124" s="1"/>
      <c r="I124" s="1"/>
      <c r="J124" s="1"/>
      <c r="K124" s="2"/>
    </row>
    <row r="125" spans="1:11" ht="19.95" customHeight="1" x14ac:dyDescent="0.35">
      <c r="B125" s="36"/>
      <c r="C125" s="37"/>
      <c r="D125" s="38"/>
      <c r="E125" s="39"/>
      <c r="F125" s="40"/>
      <c r="G125" s="37"/>
      <c r="H125" s="37"/>
      <c r="I125" s="37"/>
      <c r="J125" s="41"/>
      <c r="K125" s="38"/>
    </row>
    <row r="126" spans="1:11" ht="36.6" customHeight="1" x14ac:dyDescent="0.35">
      <c r="A126" s="9" t="s">
        <v>1</v>
      </c>
      <c r="B126" s="42" t="s">
        <v>2</v>
      </c>
      <c r="C126" s="42" t="s">
        <v>3</v>
      </c>
      <c r="D126" s="11" t="s">
        <v>4</v>
      </c>
      <c r="E126" s="43" t="s">
        <v>5</v>
      </c>
      <c r="F126" s="42" t="s">
        <v>6</v>
      </c>
      <c r="G126" s="42" t="s">
        <v>7</v>
      </c>
      <c r="H126" s="42" t="s">
        <v>8</v>
      </c>
      <c r="I126" s="42" t="s">
        <v>9</v>
      </c>
      <c r="J126" s="42" t="s">
        <v>10</v>
      </c>
      <c r="K126" s="42" t="s">
        <v>11</v>
      </c>
    </row>
    <row r="127" spans="1:11" ht="36.6" customHeight="1" x14ac:dyDescent="0.35">
      <c r="A127" s="14"/>
      <c r="B127" s="42"/>
      <c r="C127" s="44"/>
      <c r="D127" s="16"/>
      <c r="E127" s="45"/>
      <c r="F127" s="46"/>
      <c r="G127" s="44"/>
      <c r="H127" s="44"/>
      <c r="I127" s="44"/>
      <c r="J127" s="47"/>
      <c r="K127" s="48"/>
    </row>
    <row r="128" spans="1:11" ht="109.2" x14ac:dyDescent="0.35">
      <c r="A128" s="58" t="s">
        <v>223</v>
      </c>
      <c r="B128" s="82" t="s">
        <v>13</v>
      </c>
      <c r="C128" s="93" t="s">
        <v>72</v>
      </c>
      <c r="D128" s="30" t="s">
        <v>224</v>
      </c>
      <c r="E128" s="69">
        <v>49586.78</v>
      </c>
      <c r="F128" s="84" t="s">
        <v>72</v>
      </c>
      <c r="G128" s="82" t="s">
        <v>39</v>
      </c>
      <c r="H128" s="82" t="s">
        <v>225</v>
      </c>
      <c r="I128" s="82" t="s">
        <v>18</v>
      </c>
      <c r="J128" s="82" t="s">
        <v>14</v>
      </c>
      <c r="K128" s="82" t="s">
        <v>14</v>
      </c>
    </row>
    <row r="129" spans="1:11" ht="327.60000000000002" x14ac:dyDescent="0.35">
      <c r="A129" s="58" t="s">
        <v>12</v>
      </c>
      <c r="B129" s="82" t="s">
        <v>20</v>
      </c>
      <c r="C129" s="59" t="s">
        <v>14</v>
      </c>
      <c r="D129" s="30" t="s">
        <v>226</v>
      </c>
      <c r="E129" s="69">
        <v>148801.16</v>
      </c>
      <c r="F129" s="84" t="s">
        <v>72</v>
      </c>
      <c r="G129" s="82" t="s">
        <v>39</v>
      </c>
      <c r="H129" s="94" t="s">
        <v>227</v>
      </c>
      <c r="I129" s="82" t="s">
        <v>228</v>
      </c>
      <c r="J129" s="82" t="s">
        <v>72</v>
      </c>
      <c r="K129" s="82" t="s">
        <v>14</v>
      </c>
    </row>
    <row r="130" spans="1:11" ht="109.2" x14ac:dyDescent="0.35">
      <c r="A130" s="58" t="s">
        <v>223</v>
      </c>
      <c r="B130" s="82" t="s">
        <v>13</v>
      </c>
      <c r="C130" s="59" t="s">
        <v>72</v>
      </c>
      <c r="D130" s="30" t="s">
        <v>229</v>
      </c>
      <c r="E130" s="69">
        <v>11102.85</v>
      </c>
      <c r="F130" s="84" t="s">
        <v>14</v>
      </c>
      <c r="G130" s="82" t="s">
        <v>39</v>
      </c>
      <c r="H130" s="82" t="s">
        <v>230</v>
      </c>
      <c r="I130" s="82" t="s">
        <v>231</v>
      </c>
      <c r="J130" s="82" t="s">
        <v>72</v>
      </c>
      <c r="K130" s="82" t="s">
        <v>14</v>
      </c>
    </row>
    <row r="131" spans="1:11" ht="109.2" x14ac:dyDescent="0.35">
      <c r="A131" s="58" t="s">
        <v>223</v>
      </c>
      <c r="B131" s="82" t="s">
        <v>20</v>
      </c>
      <c r="C131" s="59" t="s">
        <v>72</v>
      </c>
      <c r="D131" s="30" t="s">
        <v>232</v>
      </c>
      <c r="E131" s="69">
        <v>7355.85</v>
      </c>
      <c r="F131" s="84" t="s">
        <v>14</v>
      </c>
      <c r="G131" s="82" t="s">
        <v>39</v>
      </c>
      <c r="H131" s="59" t="s">
        <v>233</v>
      </c>
      <c r="I131" s="82" t="s">
        <v>24</v>
      </c>
      <c r="J131" s="82" t="s">
        <v>14</v>
      </c>
      <c r="K131" s="82" t="s">
        <v>14</v>
      </c>
    </row>
    <row r="132" spans="1:11" ht="124.8" x14ac:dyDescent="0.35">
      <c r="A132" s="30" t="s">
        <v>234</v>
      </c>
      <c r="B132" s="82" t="s">
        <v>20</v>
      </c>
      <c r="C132" s="59" t="s">
        <v>14</v>
      </c>
      <c r="D132" s="30" t="s">
        <v>235</v>
      </c>
      <c r="E132" s="69">
        <v>113943.4</v>
      </c>
      <c r="F132" s="84" t="s">
        <v>14</v>
      </c>
      <c r="G132" s="82" t="s">
        <v>154</v>
      </c>
      <c r="H132" s="82" t="s">
        <v>236</v>
      </c>
      <c r="I132" s="82" t="s">
        <v>187</v>
      </c>
      <c r="J132" s="82" t="s">
        <v>72</v>
      </c>
      <c r="K132" s="82" t="s">
        <v>72</v>
      </c>
    </row>
    <row r="133" spans="1:11" ht="78" x14ac:dyDescent="0.35">
      <c r="A133" s="30" t="s">
        <v>237</v>
      </c>
      <c r="B133" s="82" t="s">
        <v>20</v>
      </c>
      <c r="C133" s="59" t="s">
        <v>72</v>
      </c>
      <c r="D133" s="30" t="s">
        <v>238</v>
      </c>
      <c r="E133" s="69">
        <v>10449.16</v>
      </c>
      <c r="F133" s="84" t="s">
        <v>14</v>
      </c>
      <c r="G133" s="82" t="s">
        <v>154</v>
      </c>
      <c r="H133" s="82">
        <v>92331210</v>
      </c>
      <c r="I133" s="82" t="s">
        <v>24</v>
      </c>
      <c r="J133" s="82" t="s">
        <v>14</v>
      </c>
      <c r="K133" s="82" t="s">
        <v>14</v>
      </c>
    </row>
    <row r="134" spans="1:11" ht="124.8" x14ac:dyDescent="0.35">
      <c r="A134" s="58" t="s">
        <v>12</v>
      </c>
      <c r="B134" s="30" t="s">
        <v>20</v>
      </c>
      <c r="C134" s="30" t="s">
        <v>14</v>
      </c>
      <c r="D134" s="95" t="s">
        <v>239</v>
      </c>
      <c r="E134" s="69">
        <v>112071.05</v>
      </c>
      <c r="F134" s="30" t="s">
        <v>72</v>
      </c>
      <c r="G134" s="59" t="s">
        <v>240</v>
      </c>
      <c r="H134" s="59" t="s">
        <v>241</v>
      </c>
      <c r="I134" s="82" t="s">
        <v>242</v>
      </c>
      <c r="J134" s="59" t="s">
        <v>72</v>
      </c>
      <c r="K134" s="59" t="s">
        <v>14</v>
      </c>
    </row>
    <row r="135" spans="1:11" ht="93.6" x14ac:dyDescent="0.35">
      <c r="A135" s="58" t="s">
        <v>12</v>
      </c>
      <c r="B135" s="59" t="s">
        <v>20</v>
      </c>
      <c r="C135" s="59" t="s">
        <v>14</v>
      </c>
      <c r="D135" s="84" t="s">
        <v>243</v>
      </c>
      <c r="E135" s="69">
        <v>149116.38</v>
      </c>
      <c r="F135" s="30" t="s">
        <v>14</v>
      </c>
      <c r="G135" s="59" t="s">
        <v>240</v>
      </c>
      <c r="H135" s="59" t="s">
        <v>244</v>
      </c>
      <c r="I135" s="82" t="s">
        <v>245</v>
      </c>
      <c r="J135" s="59" t="s">
        <v>72</v>
      </c>
      <c r="K135" s="59" t="s">
        <v>14</v>
      </c>
    </row>
    <row r="136" spans="1:11" ht="93.6" x14ac:dyDescent="0.35">
      <c r="A136" s="58" t="s">
        <v>12</v>
      </c>
      <c r="B136" s="59" t="s">
        <v>20</v>
      </c>
      <c r="C136" s="59" t="s">
        <v>14</v>
      </c>
      <c r="D136" s="95" t="s">
        <v>246</v>
      </c>
      <c r="E136" s="67">
        <v>105954.88</v>
      </c>
      <c r="F136" s="30" t="s">
        <v>14</v>
      </c>
      <c r="G136" s="59" t="s">
        <v>240</v>
      </c>
      <c r="H136" s="59" t="s">
        <v>233</v>
      </c>
      <c r="I136" s="59" t="s">
        <v>245</v>
      </c>
      <c r="J136" s="59" t="s">
        <v>72</v>
      </c>
      <c r="K136" s="59" t="s">
        <v>14</v>
      </c>
    </row>
    <row r="137" spans="1:11" ht="78" x14ac:dyDescent="0.35">
      <c r="A137" s="30" t="s">
        <v>237</v>
      </c>
      <c r="B137" s="82" t="s">
        <v>20</v>
      </c>
      <c r="C137" s="59" t="s">
        <v>72</v>
      </c>
      <c r="D137" s="30" t="s">
        <v>247</v>
      </c>
      <c r="E137" s="69">
        <v>9382.44</v>
      </c>
      <c r="F137" s="84" t="s">
        <v>14</v>
      </c>
      <c r="G137" s="59" t="s">
        <v>240</v>
      </c>
      <c r="H137" s="84" t="s">
        <v>248</v>
      </c>
      <c r="I137" s="82" t="s">
        <v>228</v>
      </c>
      <c r="J137" s="82" t="s">
        <v>72</v>
      </c>
      <c r="K137" s="82" t="s">
        <v>14</v>
      </c>
    </row>
    <row r="138" spans="1:11" ht="109.2" x14ac:dyDescent="0.35">
      <c r="A138" s="58" t="s">
        <v>223</v>
      </c>
      <c r="B138" s="82" t="s">
        <v>20</v>
      </c>
      <c r="C138" s="59" t="s">
        <v>72</v>
      </c>
      <c r="D138" s="30" t="s">
        <v>249</v>
      </c>
      <c r="E138" s="69">
        <v>42640</v>
      </c>
      <c r="F138" s="84" t="s">
        <v>14</v>
      </c>
      <c r="G138" s="59" t="s">
        <v>240</v>
      </c>
      <c r="H138" s="94" t="s">
        <v>250</v>
      </c>
      <c r="I138" s="82" t="s">
        <v>228</v>
      </c>
      <c r="J138" s="82" t="s">
        <v>72</v>
      </c>
      <c r="K138" s="82" t="s">
        <v>14</v>
      </c>
    </row>
    <row r="139" spans="1:11" ht="93.6" x14ac:dyDescent="0.35">
      <c r="A139" s="58" t="s">
        <v>12</v>
      </c>
      <c r="B139" s="82" t="s">
        <v>20</v>
      </c>
      <c r="C139" s="59" t="s">
        <v>14</v>
      </c>
      <c r="D139" s="30" t="s">
        <v>251</v>
      </c>
      <c r="E139" s="69">
        <v>82115.42</v>
      </c>
      <c r="F139" s="84" t="s">
        <v>14</v>
      </c>
      <c r="G139" s="59" t="s">
        <v>240</v>
      </c>
      <c r="H139" s="82">
        <v>504210002</v>
      </c>
      <c r="I139" s="82" t="s">
        <v>245</v>
      </c>
      <c r="J139" s="82" t="s">
        <v>72</v>
      </c>
      <c r="K139" s="82" t="s">
        <v>14</v>
      </c>
    </row>
    <row r="140" spans="1:11" x14ac:dyDescent="0.35">
      <c r="A140" s="96"/>
      <c r="B140" s="97"/>
      <c r="C140" s="98"/>
      <c r="D140" s="99"/>
      <c r="E140" s="100"/>
      <c r="F140" s="101"/>
      <c r="G140" s="97"/>
      <c r="H140" s="97"/>
      <c r="I140" s="97"/>
      <c r="J140" s="97"/>
      <c r="K140" s="97"/>
    </row>
    <row r="141" spans="1:11" x14ac:dyDescent="0.35">
      <c r="A141" s="1" t="s">
        <v>252</v>
      </c>
      <c r="B141" s="1"/>
      <c r="C141" s="1"/>
      <c r="D141" s="1"/>
      <c r="E141" s="1"/>
      <c r="F141" s="1"/>
      <c r="G141" s="1"/>
      <c r="H141" s="1"/>
      <c r="I141" s="1"/>
      <c r="J141" s="1"/>
      <c r="K141" s="2"/>
    </row>
    <row r="142" spans="1:11" ht="15.6" customHeight="1" x14ac:dyDescent="0.35">
      <c r="A142" s="96"/>
      <c r="B142" s="97"/>
      <c r="C142" s="98"/>
      <c r="D142" s="99"/>
      <c r="E142" s="100"/>
      <c r="F142" s="101"/>
      <c r="G142" s="97"/>
      <c r="H142" s="97"/>
      <c r="I142" s="97"/>
      <c r="J142" s="97"/>
      <c r="K142" s="97"/>
    </row>
    <row r="143" spans="1:11" ht="15.6" customHeight="1" x14ac:dyDescent="0.35">
      <c r="A143" s="9" t="s">
        <v>1</v>
      </c>
      <c r="B143" s="42" t="s">
        <v>2</v>
      </c>
      <c r="C143" s="42" t="s">
        <v>3</v>
      </c>
      <c r="D143" s="11" t="s">
        <v>4</v>
      </c>
      <c r="E143" s="43" t="s">
        <v>5</v>
      </c>
      <c r="F143" s="42" t="s">
        <v>6</v>
      </c>
      <c r="G143" s="42" t="s">
        <v>7</v>
      </c>
      <c r="H143" s="42" t="s">
        <v>8</v>
      </c>
      <c r="I143" s="42" t="s">
        <v>9</v>
      </c>
      <c r="J143" s="42" t="s">
        <v>10</v>
      </c>
      <c r="K143" s="42" t="s">
        <v>11</v>
      </c>
    </row>
    <row r="144" spans="1:11" ht="40.200000000000003" customHeight="1" x14ac:dyDescent="0.35">
      <c r="A144" s="14"/>
      <c r="B144" s="42"/>
      <c r="C144" s="44"/>
      <c r="D144" s="16"/>
      <c r="E144" s="45"/>
      <c r="F144" s="46"/>
      <c r="G144" s="44"/>
      <c r="H144" s="44"/>
      <c r="I144" s="44"/>
      <c r="J144" s="47"/>
      <c r="K144" s="48"/>
    </row>
    <row r="145" spans="1:11" ht="93.6" x14ac:dyDescent="0.35">
      <c r="A145" s="23" t="s">
        <v>253</v>
      </c>
      <c r="B145" s="59" t="s">
        <v>13</v>
      </c>
      <c r="C145" s="24" t="s">
        <v>72</v>
      </c>
      <c r="D145" s="23" t="s">
        <v>254</v>
      </c>
      <c r="E145" s="67">
        <v>55144</v>
      </c>
      <c r="F145" s="23" t="s">
        <v>72</v>
      </c>
      <c r="G145" s="27" t="s">
        <v>255</v>
      </c>
      <c r="H145" s="102">
        <v>43325000</v>
      </c>
      <c r="I145" s="27" t="s">
        <v>91</v>
      </c>
      <c r="J145" s="24" t="s">
        <v>14</v>
      </c>
      <c r="K145" s="24" t="s">
        <v>14</v>
      </c>
    </row>
    <row r="146" spans="1:11" ht="93.6" x14ac:dyDescent="0.35">
      <c r="A146" s="23" t="s">
        <v>253</v>
      </c>
      <c r="B146" s="59" t="s">
        <v>13</v>
      </c>
      <c r="C146" s="24" t="s">
        <v>72</v>
      </c>
      <c r="D146" s="23" t="s">
        <v>256</v>
      </c>
      <c r="E146" s="67">
        <v>28000</v>
      </c>
      <c r="F146" s="23" t="s">
        <v>72</v>
      </c>
      <c r="G146" s="27" t="s">
        <v>255</v>
      </c>
      <c r="H146" s="102" t="s">
        <v>257</v>
      </c>
      <c r="I146" s="27" t="s">
        <v>91</v>
      </c>
      <c r="J146" s="24" t="s">
        <v>258</v>
      </c>
      <c r="K146" s="24" t="s">
        <v>258</v>
      </c>
    </row>
    <row r="147" spans="1:11" x14ac:dyDescent="0.35">
      <c r="A147" s="61"/>
      <c r="B147" s="98"/>
      <c r="C147" s="35"/>
      <c r="D147" s="61"/>
      <c r="E147" s="103"/>
      <c r="F147" s="61"/>
      <c r="G147" s="104"/>
      <c r="H147" s="105"/>
      <c r="I147" s="104"/>
      <c r="J147" s="35"/>
      <c r="K147" s="35"/>
    </row>
    <row r="148" spans="1:11" x14ac:dyDescent="0.35">
      <c r="A148" s="96"/>
      <c r="B148" s="97"/>
      <c r="C148" s="98"/>
      <c r="D148" s="99"/>
      <c r="E148" s="100"/>
      <c r="F148" s="101"/>
      <c r="G148" s="97"/>
      <c r="H148" s="97"/>
      <c r="I148" s="97"/>
      <c r="J148" s="97"/>
      <c r="K148" s="97"/>
    </row>
    <row r="149" spans="1:11" ht="19.95" customHeight="1" x14ac:dyDescent="0.35"/>
    <row r="150" spans="1:11" ht="19.95" customHeight="1" x14ac:dyDescent="0.35">
      <c r="A150" s="1" t="s">
        <v>259</v>
      </c>
      <c r="B150" s="1"/>
      <c r="C150" s="1"/>
      <c r="D150" s="1"/>
      <c r="E150" s="1"/>
      <c r="F150" s="1"/>
      <c r="G150" s="1"/>
      <c r="H150" s="1"/>
      <c r="I150" s="1"/>
      <c r="J150" s="1"/>
      <c r="K150" s="2"/>
    </row>
    <row r="151" spans="1:11" ht="19.95" customHeight="1" x14ac:dyDescent="0.35">
      <c r="B151" s="36"/>
      <c r="C151" s="37"/>
      <c r="D151" s="38"/>
      <c r="E151" s="39"/>
      <c r="F151" s="40"/>
      <c r="G151" s="37"/>
      <c r="H151" s="37"/>
      <c r="I151" s="37"/>
      <c r="J151" s="41"/>
      <c r="K151" s="38"/>
    </row>
    <row r="152" spans="1:11" ht="19.95" customHeight="1" x14ac:dyDescent="0.35">
      <c r="A152" s="9" t="s">
        <v>1</v>
      </c>
      <c r="B152" s="42" t="s">
        <v>2</v>
      </c>
      <c r="C152" s="42" t="s">
        <v>3</v>
      </c>
      <c r="D152" s="11" t="s">
        <v>4</v>
      </c>
      <c r="E152" s="43" t="s">
        <v>5</v>
      </c>
      <c r="F152" s="42" t="s">
        <v>6</v>
      </c>
      <c r="G152" s="42" t="s">
        <v>7</v>
      </c>
      <c r="H152" s="42" t="s">
        <v>8</v>
      </c>
      <c r="I152" s="42" t="s">
        <v>9</v>
      </c>
      <c r="J152" s="42" t="s">
        <v>10</v>
      </c>
      <c r="K152" s="42" t="s">
        <v>11</v>
      </c>
    </row>
    <row r="153" spans="1:11" ht="19.95" customHeight="1" x14ac:dyDescent="0.35">
      <c r="A153" s="14"/>
      <c r="B153" s="42"/>
      <c r="C153" s="44"/>
      <c r="D153" s="16"/>
      <c r="E153" s="45"/>
      <c r="F153" s="46"/>
      <c r="G153" s="44"/>
      <c r="H153" s="44"/>
      <c r="I153" s="44"/>
      <c r="J153" s="47"/>
      <c r="K153" s="48"/>
    </row>
    <row r="154" spans="1:11" ht="93.6" x14ac:dyDescent="0.35">
      <c r="A154" s="30" t="s">
        <v>260</v>
      </c>
      <c r="B154" s="24" t="s">
        <v>13</v>
      </c>
      <c r="C154" s="24" t="s">
        <v>72</v>
      </c>
      <c r="D154" s="106" t="s">
        <v>261</v>
      </c>
      <c r="E154" s="66">
        <v>56441.06</v>
      </c>
      <c r="F154" s="24" t="s">
        <v>14</v>
      </c>
      <c r="G154" s="27" t="s">
        <v>39</v>
      </c>
      <c r="H154" s="107" t="s">
        <v>262</v>
      </c>
      <c r="I154" s="108" t="s">
        <v>100</v>
      </c>
      <c r="J154" s="24" t="s">
        <v>263</v>
      </c>
      <c r="K154" s="24" t="s">
        <v>14</v>
      </c>
    </row>
    <row r="155" spans="1:11" ht="93.6" x14ac:dyDescent="0.35">
      <c r="A155" s="30" t="s">
        <v>260</v>
      </c>
      <c r="B155" s="23" t="s">
        <v>264</v>
      </c>
      <c r="C155" s="59" t="s">
        <v>72</v>
      </c>
      <c r="D155" s="106" t="s">
        <v>265</v>
      </c>
      <c r="E155" s="66">
        <v>55111.57</v>
      </c>
      <c r="F155" s="24" t="s">
        <v>14</v>
      </c>
      <c r="G155" s="27" t="s">
        <v>39</v>
      </c>
      <c r="H155" s="27" t="s">
        <v>266</v>
      </c>
      <c r="I155" s="27" t="s">
        <v>267</v>
      </c>
      <c r="J155" s="24" t="s">
        <v>14</v>
      </c>
      <c r="K155" s="24" t="s">
        <v>14</v>
      </c>
    </row>
    <row r="156" spans="1:11" ht="93.6" x14ac:dyDescent="0.35">
      <c r="A156" s="30" t="s">
        <v>260</v>
      </c>
      <c r="B156" s="24" t="s">
        <v>268</v>
      </c>
      <c r="C156" s="59" t="s">
        <v>72</v>
      </c>
      <c r="D156" s="23" t="s">
        <v>269</v>
      </c>
      <c r="E156" s="109">
        <v>51144.05</v>
      </c>
      <c r="F156" s="23" t="s">
        <v>14</v>
      </c>
      <c r="G156" s="27" t="s">
        <v>39</v>
      </c>
      <c r="H156" s="24">
        <v>98341130</v>
      </c>
      <c r="I156" s="24" t="s">
        <v>270</v>
      </c>
      <c r="J156" s="24" t="s">
        <v>72</v>
      </c>
      <c r="K156" s="24" t="s">
        <v>14</v>
      </c>
    </row>
    <row r="157" spans="1:11" ht="93.6" x14ac:dyDescent="0.35">
      <c r="A157" s="30" t="s">
        <v>260</v>
      </c>
      <c r="B157" s="110" t="s">
        <v>264</v>
      </c>
      <c r="C157" s="71" t="s">
        <v>72</v>
      </c>
      <c r="D157" s="106" t="s">
        <v>271</v>
      </c>
      <c r="E157" s="111">
        <v>59992.33</v>
      </c>
      <c r="F157" s="112" t="s">
        <v>14</v>
      </c>
      <c r="G157" s="113" t="s">
        <v>154</v>
      </c>
      <c r="H157" s="113" t="s">
        <v>266</v>
      </c>
      <c r="I157" s="113" t="s">
        <v>272</v>
      </c>
      <c r="J157" s="112" t="s">
        <v>14</v>
      </c>
      <c r="K157" s="112" t="s">
        <v>14</v>
      </c>
    </row>
    <row r="158" spans="1:11" ht="109.2" x14ac:dyDescent="0.35">
      <c r="A158" s="30" t="s">
        <v>260</v>
      </c>
      <c r="B158" s="24" t="s">
        <v>13</v>
      </c>
      <c r="C158" s="59" t="s">
        <v>72</v>
      </c>
      <c r="D158" s="106" t="s">
        <v>273</v>
      </c>
      <c r="E158" s="109">
        <v>58347.1</v>
      </c>
      <c r="F158" s="24" t="s">
        <v>14</v>
      </c>
      <c r="G158" s="113" t="s">
        <v>240</v>
      </c>
      <c r="H158" s="23" t="s">
        <v>274</v>
      </c>
      <c r="I158" s="24" t="s">
        <v>46</v>
      </c>
      <c r="J158" s="24" t="s">
        <v>14</v>
      </c>
      <c r="K158" s="24" t="s">
        <v>14</v>
      </c>
    </row>
    <row r="159" spans="1:11" ht="109.2" x14ac:dyDescent="0.35">
      <c r="A159" s="30" t="s">
        <v>260</v>
      </c>
      <c r="B159" s="23" t="s">
        <v>264</v>
      </c>
      <c r="C159" s="59" t="s">
        <v>72</v>
      </c>
      <c r="D159" s="95" t="s">
        <v>275</v>
      </c>
      <c r="E159" s="109">
        <v>50609.73</v>
      </c>
      <c r="F159" s="59" t="s">
        <v>72</v>
      </c>
      <c r="G159" s="27" t="s">
        <v>240</v>
      </c>
      <c r="H159" s="107" t="s">
        <v>276</v>
      </c>
      <c r="I159" s="24" t="s">
        <v>49</v>
      </c>
      <c r="J159" s="59" t="s">
        <v>14</v>
      </c>
      <c r="K159" s="59" t="s">
        <v>14</v>
      </c>
    </row>
    <row r="160" spans="1:11" x14ac:dyDescent="0.35">
      <c r="A160" s="99"/>
      <c r="B160" s="61"/>
      <c r="C160" s="98"/>
      <c r="D160" s="114"/>
      <c r="E160" s="115"/>
      <c r="F160" s="98"/>
      <c r="G160" s="116"/>
      <c r="H160" s="117"/>
      <c r="I160" s="35"/>
      <c r="J160" s="98"/>
      <c r="K160" s="98"/>
    </row>
    <row r="161" spans="1:11" x14ac:dyDescent="0.35">
      <c r="A161" s="99"/>
      <c r="B161" s="61"/>
      <c r="C161" s="98"/>
      <c r="D161" s="114"/>
      <c r="E161" s="115"/>
      <c r="F161" s="98"/>
      <c r="G161" s="116"/>
      <c r="H161" s="117"/>
      <c r="I161" s="35"/>
      <c r="J161" s="98"/>
      <c r="K161" s="98"/>
    </row>
    <row r="162" spans="1:11" x14ac:dyDescent="0.35">
      <c r="A162" s="99"/>
      <c r="B162" s="61"/>
      <c r="C162" s="98"/>
      <c r="D162" s="114"/>
      <c r="E162" s="115"/>
      <c r="F162" s="98"/>
      <c r="G162" s="116"/>
      <c r="H162" s="117"/>
      <c r="I162" s="35"/>
      <c r="J162" s="98"/>
      <c r="K162" s="98"/>
    </row>
    <row r="163" spans="1:11" x14ac:dyDescent="0.35">
      <c r="B163" s="61"/>
      <c r="C163" s="61"/>
      <c r="D163" s="61"/>
      <c r="E163" s="54"/>
      <c r="F163" s="61"/>
      <c r="G163" s="61"/>
      <c r="H163" s="118"/>
      <c r="I163" s="61"/>
      <c r="J163" s="61"/>
      <c r="K163" s="61"/>
    </row>
    <row r="164" spans="1:11" ht="10.8" customHeight="1" x14ac:dyDescent="0.35">
      <c r="B164" s="61"/>
      <c r="C164" s="61"/>
      <c r="D164" s="61"/>
      <c r="E164" s="54"/>
      <c r="F164" s="61"/>
      <c r="G164" s="61"/>
      <c r="H164" s="118"/>
      <c r="I164" s="61"/>
      <c r="J164" s="61"/>
      <c r="K164" s="61"/>
    </row>
    <row r="165" spans="1:11" ht="19.95" customHeight="1" x14ac:dyDescent="0.35">
      <c r="A165" s="1" t="s">
        <v>277</v>
      </c>
      <c r="B165" s="1"/>
      <c r="C165" s="1"/>
      <c r="D165" s="1"/>
      <c r="E165" s="1"/>
      <c r="F165" s="1"/>
      <c r="G165" s="1"/>
      <c r="H165" s="1"/>
      <c r="I165" s="1"/>
      <c r="J165" s="1"/>
      <c r="K165" s="119"/>
    </row>
    <row r="166" spans="1:11" x14ac:dyDescent="0.35">
      <c r="B166" s="61"/>
      <c r="C166" s="61"/>
      <c r="D166" s="61"/>
      <c r="E166" s="54"/>
      <c r="F166" s="61"/>
      <c r="G166" s="61"/>
      <c r="H166" s="118"/>
      <c r="I166" s="61"/>
      <c r="J166" s="61"/>
      <c r="K166" s="61"/>
    </row>
    <row r="167" spans="1:11" ht="25.05" customHeight="1" x14ac:dyDescent="0.35">
      <c r="A167" s="9" t="s">
        <v>1</v>
      </c>
      <c r="B167" s="9" t="s">
        <v>2</v>
      </c>
      <c r="C167" s="9" t="s">
        <v>3</v>
      </c>
      <c r="D167" s="11" t="s">
        <v>4</v>
      </c>
      <c r="E167" s="120" t="s">
        <v>5</v>
      </c>
      <c r="F167" s="9" t="s">
        <v>6</v>
      </c>
      <c r="G167" s="9" t="s">
        <v>7</v>
      </c>
      <c r="H167" s="9" t="s">
        <v>8</v>
      </c>
      <c r="I167" s="9" t="s">
        <v>9</v>
      </c>
      <c r="J167" s="9" t="s">
        <v>10</v>
      </c>
      <c r="K167" s="9" t="s">
        <v>11</v>
      </c>
    </row>
    <row r="168" spans="1:11" ht="25.05" customHeight="1" x14ac:dyDescent="0.35">
      <c r="A168" s="14"/>
      <c r="B168" s="14"/>
      <c r="C168" s="14"/>
      <c r="D168" s="16"/>
      <c r="E168" s="121"/>
      <c r="F168" s="14"/>
      <c r="G168" s="14"/>
      <c r="H168" s="14"/>
      <c r="I168" s="14"/>
      <c r="J168" s="14"/>
      <c r="K168" s="14"/>
    </row>
    <row r="169" spans="1:11" ht="93.6" x14ac:dyDescent="0.35">
      <c r="A169" s="23" t="s">
        <v>12</v>
      </c>
      <c r="B169" s="24" t="s">
        <v>20</v>
      </c>
      <c r="C169" s="24" t="s">
        <v>14</v>
      </c>
      <c r="D169" s="23" t="s">
        <v>278</v>
      </c>
      <c r="E169" s="29">
        <v>80578.509999999995</v>
      </c>
      <c r="F169" s="23" t="s">
        <v>14</v>
      </c>
      <c r="G169" s="27" t="s">
        <v>279</v>
      </c>
      <c r="H169" s="26" t="s">
        <v>280</v>
      </c>
      <c r="I169" s="27" t="s">
        <v>281</v>
      </c>
      <c r="J169" s="24" t="s">
        <v>72</v>
      </c>
      <c r="K169" s="24" t="s">
        <v>72</v>
      </c>
    </row>
    <row r="170" spans="1:11" ht="109.2" x14ac:dyDescent="0.35">
      <c r="A170" s="23" t="s">
        <v>282</v>
      </c>
      <c r="B170" s="24" t="s">
        <v>20</v>
      </c>
      <c r="C170" s="24" t="s">
        <v>14</v>
      </c>
      <c r="D170" s="23" t="s">
        <v>283</v>
      </c>
      <c r="E170" s="29">
        <v>176033.06</v>
      </c>
      <c r="F170" s="23" t="s">
        <v>72</v>
      </c>
      <c r="G170" s="27" t="s">
        <v>284</v>
      </c>
      <c r="H170" s="26" t="s">
        <v>285</v>
      </c>
      <c r="I170" s="27" t="s">
        <v>24</v>
      </c>
      <c r="J170" s="24" t="s">
        <v>72</v>
      </c>
      <c r="K170" s="59" t="s">
        <v>14</v>
      </c>
    </row>
    <row r="171" spans="1:11" x14ac:dyDescent="0.35">
      <c r="B171" s="61"/>
      <c r="C171" s="61"/>
      <c r="D171" s="61"/>
      <c r="E171" s="54"/>
      <c r="F171" s="61"/>
      <c r="G171" s="61"/>
      <c r="H171" s="118"/>
      <c r="I171" s="61"/>
      <c r="J171" s="61"/>
      <c r="K171" s="61"/>
    </row>
    <row r="172" spans="1:11" ht="19.95" customHeight="1" x14ac:dyDescent="0.35">
      <c r="H172" s="122"/>
    </row>
    <row r="173" spans="1:11" ht="19.95" customHeight="1" x14ac:dyDescent="0.35">
      <c r="A173" s="1" t="s">
        <v>286</v>
      </c>
      <c r="B173" s="1"/>
      <c r="C173" s="1"/>
      <c r="D173" s="1"/>
      <c r="E173" s="1"/>
      <c r="F173" s="1"/>
      <c r="G173" s="1"/>
      <c r="H173" s="1"/>
      <c r="I173" s="1"/>
      <c r="J173" s="1"/>
      <c r="K173" s="119"/>
    </row>
    <row r="174" spans="1:11" ht="19.95" customHeight="1" x14ac:dyDescent="0.35">
      <c r="H174" s="122"/>
    </row>
    <row r="175" spans="1:11" ht="19.95" customHeight="1" x14ac:dyDescent="0.35">
      <c r="A175" s="9" t="s">
        <v>1</v>
      </c>
      <c r="B175" s="9" t="s">
        <v>2</v>
      </c>
      <c r="C175" s="9" t="s">
        <v>3</v>
      </c>
      <c r="D175" s="11" t="s">
        <v>4</v>
      </c>
      <c r="E175" s="120" t="s">
        <v>5</v>
      </c>
      <c r="F175" s="9" t="s">
        <v>6</v>
      </c>
      <c r="G175" s="9" t="s">
        <v>7</v>
      </c>
      <c r="H175" s="9" t="s">
        <v>8</v>
      </c>
      <c r="I175" s="9" t="s">
        <v>9</v>
      </c>
      <c r="J175" s="9" t="s">
        <v>10</v>
      </c>
      <c r="K175" s="9" t="s">
        <v>11</v>
      </c>
    </row>
    <row r="176" spans="1:11" ht="19.95" customHeight="1" x14ac:dyDescent="0.35">
      <c r="A176" s="14"/>
      <c r="B176" s="14"/>
      <c r="C176" s="14"/>
      <c r="D176" s="16"/>
      <c r="E176" s="121"/>
      <c r="F176" s="14"/>
      <c r="G176" s="14"/>
      <c r="H176" s="14"/>
      <c r="I176" s="14"/>
      <c r="J176" s="14"/>
      <c r="K176" s="14"/>
    </row>
    <row r="177" spans="1:11" ht="109.2" x14ac:dyDescent="0.35">
      <c r="A177" s="23" t="s">
        <v>287</v>
      </c>
      <c r="B177" s="24" t="s">
        <v>13</v>
      </c>
      <c r="C177" s="59" t="s">
        <v>72</v>
      </c>
      <c r="D177" s="23" t="s">
        <v>288</v>
      </c>
      <c r="E177" s="29">
        <v>29031.919999999998</v>
      </c>
      <c r="F177" s="23" t="s">
        <v>14</v>
      </c>
      <c r="G177" s="27" t="s">
        <v>289</v>
      </c>
      <c r="H177" s="26" t="s">
        <v>290</v>
      </c>
      <c r="I177" s="27" t="s">
        <v>46</v>
      </c>
      <c r="J177" s="24" t="s">
        <v>14</v>
      </c>
      <c r="K177" s="123" t="s">
        <v>14</v>
      </c>
    </row>
    <row r="178" spans="1:11" ht="109.2" x14ac:dyDescent="0.35">
      <c r="A178" s="23" t="s">
        <v>287</v>
      </c>
      <c r="B178" s="24" t="s">
        <v>20</v>
      </c>
      <c r="C178" s="59" t="s">
        <v>72</v>
      </c>
      <c r="D178" s="23" t="s">
        <v>291</v>
      </c>
      <c r="E178" s="29">
        <v>26970</v>
      </c>
      <c r="F178" s="23" t="s">
        <v>14</v>
      </c>
      <c r="G178" s="27" t="s">
        <v>289</v>
      </c>
      <c r="H178" s="26" t="s">
        <v>292</v>
      </c>
      <c r="I178" s="27" t="s">
        <v>57</v>
      </c>
      <c r="J178" s="24" t="s">
        <v>14</v>
      </c>
      <c r="K178" s="123" t="s">
        <v>14</v>
      </c>
    </row>
    <row r="179" spans="1:11" ht="109.2" x14ac:dyDescent="0.35">
      <c r="A179" s="23" t="s">
        <v>287</v>
      </c>
      <c r="B179" s="24" t="s">
        <v>20</v>
      </c>
      <c r="C179" s="59" t="s">
        <v>72</v>
      </c>
      <c r="D179" s="23" t="s">
        <v>293</v>
      </c>
      <c r="E179" s="29">
        <v>38692.5</v>
      </c>
      <c r="F179" s="23" t="s">
        <v>14</v>
      </c>
      <c r="G179" s="27" t="s">
        <v>289</v>
      </c>
      <c r="H179" s="26" t="s">
        <v>294</v>
      </c>
      <c r="I179" s="27" t="s">
        <v>295</v>
      </c>
      <c r="J179" s="24" t="s">
        <v>14</v>
      </c>
      <c r="K179" s="123" t="s">
        <v>14</v>
      </c>
    </row>
    <row r="180" spans="1:11" s="124" customFormat="1" x14ac:dyDescent="0.35">
      <c r="A180" s="35"/>
      <c r="B180" s="35"/>
      <c r="C180" s="35"/>
      <c r="D180" s="118"/>
      <c r="E180" s="54"/>
      <c r="F180" s="35"/>
      <c r="G180" s="35"/>
      <c r="H180" s="61"/>
      <c r="I180" s="35"/>
      <c r="J180" s="35"/>
      <c r="K180" s="61"/>
    </row>
    <row r="181" spans="1:11" s="124" customFormat="1" x14ac:dyDescent="0.35">
      <c r="A181" s="35"/>
      <c r="B181" s="35"/>
      <c r="C181" s="35"/>
      <c r="D181" s="118"/>
      <c r="E181" s="54"/>
      <c r="F181" s="35"/>
      <c r="G181" s="35"/>
      <c r="H181" s="61"/>
      <c r="I181" s="35"/>
      <c r="J181" s="35"/>
      <c r="K181" s="61"/>
    </row>
    <row r="182" spans="1:11" s="124" customFormat="1" x14ac:dyDescent="0.35">
      <c r="A182" s="35"/>
      <c r="B182" s="35"/>
      <c r="C182" s="35"/>
      <c r="D182" s="118"/>
      <c r="E182" s="54"/>
      <c r="F182" s="35"/>
      <c r="G182" s="35"/>
      <c r="H182" s="61"/>
      <c r="I182" s="35"/>
      <c r="J182" s="35"/>
      <c r="K182" s="61"/>
    </row>
    <row r="183" spans="1:11" s="124" customFormat="1" x14ac:dyDescent="0.35">
      <c r="A183" s="35"/>
      <c r="B183" s="35"/>
      <c r="C183" s="35"/>
      <c r="D183" s="118"/>
      <c r="E183" s="54"/>
      <c r="F183" s="35"/>
      <c r="G183" s="35"/>
      <c r="H183" s="61"/>
      <c r="I183" s="35"/>
      <c r="J183" s="35"/>
      <c r="K183" s="61"/>
    </row>
    <row r="184" spans="1:11" s="124" customFormat="1" x14ac:dyDescent="0.35">
      <c r="A184" s="35"/>
      <c r="B184" s="35"/>
      <c r="C184" s="35"/>
      <c r="D184" s="118"/>
      <c r="E184" s="54"/>
      <c r="F184" s="35"/>
      <c r="G184" s="35"/>
      <c r="H184" s="61"/>
      <c r="I184" s="35"/>
      <c r="J184" s="35"/>
      <c r="K184" s="61"/>
    </row>
    <row r="185" spans="1:11" s="124" customFormat="1" x14ac:dyDescent="0.35">
      <c r="A185" s="35"/>
      <c r="B185" s="35"/>
      <c r="C185" s="35"/>
      <c r="D185" s="118"/>
      <c r="E185" s="54"/>
      <c r="F185" s="35"/>
      <c r="G185" s="35"/>
      <c r="H185" s="61"/>
      <c r="I185" s="35"/>
      <c r="J185" s="35"/>
      <c r="K185" s="61"/>
    </row>
    <row r="186" spans="1:11" s="124" customFormat="1" x14ac:dyDescent="0.35">
      <c r="A186" s="35"/>
      <c r="B186" s="35"/>
      <c r="C186" s="35"/>
      <c r="D186" s="118"/>
      <c r="E186" s="54"/>
      <c r="F186" s="35"/>
      <c r="G186" s="35"/>
      <c r="H186" s="61"/>
      <c r="I186" s="35"/>
      <c r="J186" s="35"/>
      <c r="K186" s="61"/>
    </row>
    <row r="187" spans="1:11" s="124" customFormat="1" x14ac:dyDescent="0.35">
      <c r="A187" s="35"/>
      <c r="B187" s="35"/>
      <c r="C187" s="35"/>
      <c r="D187" s="118"/>
      <c r="E187" s="54"/>
      <c r="F187" s="35"/>
      <c r="G187" s="35"/>
      <c r="H187" s="61"/>
      <c r="I187" s="35"/>
      <c r="J187" s="35"/>
      <c r="K187" s="61"/>
    </row>
    <row r="188" spans="1:11" ht="19.95" customHeight="1" x14ac:dyDescent="0.35">
      <c r="B188" s="61"/>
      <c r="C188" s="35"/>
      <c r="D188" s="118"/>
      <c r="E188" s="54"/>
      <c r="F188" s="35"/>
      <c r="G188" s="125"/>
      <c r="H188" s="61"/>
      <c r="I188" s="35"/>
      <c r="J188" s="35"/>
      <c r="K188" s="61"/>
    </row>
    <row r="189" spans="1:11" ht="19.95" customHeight="1" x14ac:dyDescent="0.35">
      <c r="A189" s="1" t="s">
        <v>296</v>
      </c>
      <c r="B189" s="1"/>
      <c r="C189" s="1"/>
      <c r="D189" s="1"/>
      <c r="E189" s="1"/>
      <c r="F189" s="1"/>
      <c r="G189" s="1"/>
      <c r="H189" s="1"/>
      <c r="I189" s="1"/>
      <c r="J189" s="1"/>
      <c r="K189" s="119"/>
    </row>
    <row r="190" spans="1:11" ht="19.95" customHeight="1" x14ac:dyDescent="0.35">
      <c r="B190" s="61"/>
      <c r="C190" s="35"/>
      <c r="D190" s="118"/>
      <c r="E190" s="54"/>
      <c r="F190" s="35"/>
      <c r="G190" s="125"/>
      <c r="H190" s="61"/>
      <c r="I190" s="35"/>
      <c r="J190" s="35"/>
      <c r="K190" s="61"/>
    </row>
    <row r="191" spans="1:11" ht="19.95" customHeight="1" x14ac:dyDescent="0.35">
      <c r="A191" s="9" t="s">
        <v>1</v>
      </c>
      <c r="B191" s="9" t="s">
        <v>2</v>
      </c>
      <c r="C191" s="9" t="s">
        <v>3</v>
      </c>
      <c r="D191" s="11" t="s">
        <v>4</v>
      </c>
      <c r="E191" s="120" t="s">
        <v>5</v>
      </c>
      <c r="F191" s="9" t="s">
        <v>6</v>
      </c>
      <c r="G191" s="9" t="s">
        <v>7</v>
      </c>
      <c r="H191" s="9" t="s">
        <v>8</v>
      </c>
      <c r="I191" s="9" t="s">
        <v>9</v>
      </c>
      <c r="J191" s="9" t="s">
        <v>10</v>
      </c>
      <c r="K191" s="9" t="s">
        <v>11</v>
      </c>
    </row>
    <row r="192" spans="1:11" ht="19.95" customHeight="1" x14ac:dyDescent="0.35">
      <c r="A192" s="14"/>
      <c r="B192" s="14"/>
      <c r="C192" s="14"/>
      <c r="D192" s="16"/>
      <c r="E192" s="121"/>
      <c r="F192" s="14"/>
      <c r="G192" s="14"/>
      <c r="H192" s="14"/>
      <c r="I192" s="14"/>
      <c r="J192" s="14"/>
      <c r="K192" s="14"/>
    </row>
    <row r="193" spans="1:11" ht="121.8" customHeight="1" x14ac:dyDescent="0.35">
      <c r="A193" s="23" t="s">
        <v>297</v>
      </c>
      <c r="B193" s="24" t="s">
        <v>20</v>
      </c>
      <c r="C193" s="24" t="s">
        <v>72</v>
      </c>
      <c r="D193" s="23" t="s">
        <v>298</v>
      </c>
      <c r="E193" s="29">
        <f>68505.78/1.21</f>
        <v>56616.347107438014</v>
      </c>
      <c r="F193" s="23" t="s">
        <v>14</v>
      </c>
      <c r="G193" s="27" t="s">
        <v>255</v>
      </c>
      <c r="H193" s="26" t="s">
        <v>299</v>
      </c>
      <c r="I193" s="27" t="s">
        <v>270</v>
      </c>
      <c r="J193" s="24" t="s">
        <v>14</v>
      </c>
      <c r="K193" s="24" t="s">
        <v>14</v>
      </c>
    </row>
    <row r="194" spans="1:11" ht="62.4" x14ac:dyDescent="0.35">
      <c r="A194" s="23" t="s">
        <v>234</v>
      </c>
      <c r="B194" s="59" t="s">
        <v>20</v>
      </c>
      <c r="C194" s="59" t="s">
        <v>14</v>
      </c>
      <c r="D194" s="30" t="s">
        <v>300</v>
      </c>
      <c r="E194" s="67">
        <v>264512.8</v>
      </c>
      <c r="F194" s="23" t="s">
        <v>14</v>
      </c>
      <c r="G194" s="27" t="s">
        <v>255</v>
      </c>
      <c r="H194" s="59" t="s">
        <v>301</v>
      </c>
      <c r="I194" s="59" t="s">
        <v>270</v>
      </c>
      <c r="J194" s="24" t="s">
        <v>72</v>
      </c>
      <c r="K194" s="24" t="s">
        <v>14</v>
      </c>
    </row>
    <row r="195" spans="1:11" ht="78" x14ac:dyDescent="0.35">
      <c r="A195" s="23" t="s">
        <v>297</v>
      </c>
      <c r="B195" s="24" t="s">
        <v>13</v>
      </c>
      <c r="C195" s="24" t="s">
        <v>72</v>
      </c>
      <c r="D195" s="23" t="s">
        <v>302</v>
      </c>
      <c r="E195" s="29">
        <f>52000/1.21</f>
        <v>42975.206611570247</v>
      </c>
      <c r="F195" s="23" t="s">
        <v>14</v>
      </c>
      <c r="G195" s="27" t="s">
        <v>34</v>
      </c>
      <c r="H195" s="26" t="s">
        <v>303</v>
      </c>
      <c r="I195" s="27" t="s">
        <v>202</v>
      </c>
      <c r="J195" s="24" t="s">
        <v>72</v>
      </c>
      <c r="K195" s="24" t="s">
        <v>14</v>
      </c>
    </row>
    <row r="196" spans="1:11" ht="19.95" customHeight="1" x14ac:dyDescent="0.35">
      <c r="B196" s="35"/>
      <c r="C196" s="35"/>
      <c r="D196" s="61"/>
      <c r="E196" s="54"/>
      <c r="F196" s="61"/>
      <c r="G196" s="35"/>
      <c r="H196" s="35"/>
      <c r="I196" s="35"/>
      <c r="J196" s="35"/>
      <c r="K196" s="61"/>
    </row>
    <row r="197" spans="1:11" ht="19.95" customHeight="1" x14ac:dyDescent="0.35">
      <c r="B197" s="35"/>
      <c r="C197" s="35"/>
      <c r="D197" s="61"/>
      <c r="E197" s="54"/>
      <c r="F197" s="61"/>
      <c r="G197" s="35"/>
      <c r="H197" s="35"/>
      <c r="I197" s="35"/>
      <c r="J197" s="35"/>
      <c r="K197" s="61"/>
    </row>
    <row r="198" spans="1:11" ht="19.95" customHeight="1" x14ac:dyDescent="0.35">
      <c r="A198" s="1" t="s">
        <v>304</v>
      </c>
      <c r="B198" s="1"/>
      <c r="C198" s="1"/>
      <c r="D198" s="1"/>
      <c r="E198" s="1"/>
      <c r="F198" s="1"/>
      <c r="G198" s="1"/>
      <c r="H198" s="1"/>
      <c r="I198" s="1"/>
      <c r="J198" s="1"/>
      <c r="K198" s="119"/>
    </row>
    <row r="199" spans="1:11" ht="19.95" customHeight="1" x14ac:dyDescent="0.35">
      <c r="B199" s="61"/>
      <c r="C199" s="35"/>
      <c r="D199" s="118"/>
      <c r="E199" s="54"/>
      <c r="F199" s="35"/>
      <c r="G199" s="125"/>
      <c r="H199" s="61"/>
      <c r="I199" s="35"/>
      <c r="J199" s="35"/>
      <c r="K199" s="61"/>
    </row>
    <row r="200" spans="1:11" ht="19.95" customHeight="1" x14ac:dyDescent="0.35">
      <c r="A200" s="9" t="s">
        <v>1</v>
      </c>
      <c r="B200" s="9" t="s">
        <v>2</v>
      </c>
      <c r="C200" s="9" t="s">
        <v>3</v>
      </c>
      <c r="D200" s="11" t="s">
        <v>4</v>
      </c>
      <c r="E200" s="120" t="s">
        <v>5</v>
      </c>
      <c r="F200" s="9" t="s">
        <v>6</v>
      </c>
      <c r="G200" s="9" t="s">
        <v>7</v>
      </c>
      <c r="H200" s="9" t="s">
        <v>8</v>
      </c>
      <c r="I200" s="9" t="s">
        <v>9</v>
      </c>
      <c r="J200" s="9" t="s">
        <v>10</v>
      </c>
      <c r="K200" s="9" t="s">
        <v>11</v>
      </c>
    </row>
    <row r="201" spans="1:11" ht="19.95" customHeight="1" x14ac:dyDescent="0.35">
      <c r="A201" s="14"/>
      <c r="B201" s="14"/>
      <c r="C201" s="14"/>
      <c r="D201" s="16"/>
      <c r="E201" s="121"/>
      <c r="F201" s="14"/>
      <c r="G201" s="14"/>
      <c r="H201" s="14"/>
      <c r="I201" s="14"/>
      <c r="J201" s="14"/>
      <c r="K201" s="14"/>
    </row>
    <row r="202" spans="1:11" ht="109.2" x14ac:dyDescent="0.35">
      <c r="A202" s="23" t="s">
        <v>305</v>
      </c>
      <c r="B202" s="24" t="s">
        <v>20</v>
      </c>
      <c r="C202" s="24" t="s">
        <v>72</v>
      </c>
      <c r="D202" s="23" t="s">
        <v>306</v>
      </c>
      <c r="E202" s="29">
        <v>58906.99</v>
      </c>
      <c r="F202" s="23" t="s">
        <v>14</v>
      </c>
      <c r="G202" s="27" t="s">
        <v>307</v>
      </c>
      <c r="H202" s="26" t="s">
        <v>308</v>
      </c>
      <c r="I202" s="27" t="s">
        <v>309</v>
      </c>
      <c r="J202" s="24" t="s">
        <v>14</v>
      </c>
      <c r="K202" s="24" t="s">
        <v>14</v>
      </c>
    </row>
    <row r="203" spans="1:11" ht="140.4" x14ac:dyDescent="0.35">
      <c r="A203" s="23" t="s">
        <v>305</v>
      </c>
      <c r="B203" s="59" t="s">
        <v>13</v>
      </c>
      <c r="C203" s="59" t="s">
        <v>72</v>
      </c>
      <c r="D203" s="30" t="s">
        <v>310</v>
      </c>
      <c r="E203" s="67">
        <v>41408</v>
      </c>
      <c r="F203" s="30" t="s">
        <v>14</v>
      </c>
      <c r="G203" s="59" t="s">
        <v>311</v>
      </c>
      <c r="H203" s="30" t="s">
        <v>312</v>
      </c>
      <c r="I203" s="59" t="s">
        <v>77</v>
      </c>
      <c r="J203" s="59" t="s">
        <v>14</v>
      </c>
      <c r="K203" s="59" t="s">
        <v>14</v>
      </c>
    </row>
    <row r="204" spans="1:11" ht="109.2" x14ac:dyDescent="0.35">
      <c r="A204" s="23" t="s">
        <v>305</v>
      </c>
      <c r="B204" s="30" t="s">
        <v>313</v>
      </c>
      <c r="C204" s="59" t="s">
        <v>72</v>
      </c>
      <c r="D204" s="30" t="s">
        <v>314</v>
      </c>
      <c r="E204" s="67">
        <v>25000</v>
      </c>
      <c r="F204" s="30" t="s">
        <v>14</v>
      </c>
      <c r="G204" s="59" t="s">
        <v>311</v>
      </c>
      <c r="H204" s="30" t="s">
        <v>315</v>
      </c>
      <c r="I204" s="59" t="s">
        <v>77</v>
      </c>
      <c r="J204" s="59" t="s">
        <v>14</v>
      </c>
      <c r="K204" s="59" t="s">
        <v>14</v>
      </c>
    </row>
    <row r="205" spans="1:11" ht="109.2" x14ac:dyDescent="0.35">
      <c r="A205" s="23" t="s">
        <v>305</v>
      </c>
      <c r="B205" s="24" t="s">
        <v>20</v>
      </c>
      <c r="C205" s="24" t="s">
        <v>72</v>
      </c>
      <c r="D205" s="23" t="s">
        <v>316</v>
      </c>
      <c r="E205" s="29">
        <v>22200</v>
      </c>
      <c r="F205" s="23" t="s">
        <v>14</v>
      </c>
      <c r="G205" s="24" t="s">
        <v>311</v>
      </c>
      <c r="H205" s="23" t="s">
        <v>317</v>
      </c>
      <c r="I205" s="24" t="s">
        <v>77</v>
      </c>
      <c r="J205" s="24" t="s">
        <v>14</v>
      </c>
      <c r="K205" s="24" t="s">
        <v>14</v>
      </c>
    </row>
    <row r="206" spans="1:11" ht="62.4" x14ac:dyDescent="0.35">
      <c r="A206" s="23" t="s">
        <v>234</v>
      </c>
      <c r="B206" s="24" t="s">
        <v>94</v>
      </c>
      <c r="C206" s="24" t="s">
        <v>14</v>
      </c>
      <c r="D206" s="23" t="s">
        <v>318</v>
      </c>
      <c r="E206" s="29">
        <v>127272.73</v>
      </c>
      <c r="F206" s="23" t="s">
        <v>14</v>
      </c>
      <c r="G206" s="24" t="s">
        <v>39</v>
      </c>
      <c r="H206" s="23" t="s">
        <v>319</v>
      </c>
      <c r="I206" s="24" t="s">
        <v>320</v>
      </c>
      <c r="J206" s="24" t="s">
        <v>14</v>
      </c>
      <c r="K206" s="24" t="s">
        <v>14</v>
      </c>
    </row>
    <row r="207" spans="1:11" ht="109.2" x14ac:dyDescent="0.35">
      <c r="A207" s="23" t="s">
        <v>305</v>
      </c>
      <c r="B207" s="24" t="s">
        <v>20</v>
      </c>
      <c r="C207" s="24" t="s">
        <v>72</v>
      </c>
      <c r="D207" s="23" t="s">
        <v>321</v>
      </c>
      <c r="E207" s="29">
        <v>54104.74</v>
      </c>
      <c r="F207" s="23" t="s">
        <v>14</v>
      </c>
      <c r="G207" s="27" t="s">
        <v>60</v>
      </c>
      <c r="H207" s="26" t="s">
        <v>322</v>
      </c>
      <c r="I207" s="27" t="s">
        <v>309</v>
      </c>
      <c r="J207" s="24" t="s">
        <v>14</v>
      </c>
      <c r="K207" s="24" t="s">
        <v>14</v>
      </c>
    </row>
    <row r="208" spans="1:11" ht="19.95" customHeight="1" x14ac:dyDescent="0.35">
      <c r="B208" s="35"/>
      <c r="C208" s="35"/>
      <c r="D208" s="61"/>
      <c r="E208" s="54"/>
      <c r="F208" s="61"/>
      <c r="G208" s="35"/>
      <c r="H208" s="35"/>
      <c r="I208" s="35"/>
      <c r="J208" s="35"/>
      <c r="K208" s="61"/>
    </row>
    <row r="209" spans="1:11" ht="19.95" customHeight="1" x14ac:dyDescent="0.35">
      <c r="B209" s="35"/>
      <c r="C209" s="35"/>
      <c r="D209" s="61"/>
      <c r="E209" s="54"/>
      <c r="F209" s="61"/>
      <c r="G209" s="35"/>
      <c r="H209" s="35"/>
      <c r="I209" s="35"/>
      <c r="J209" s="35"/>
      <c r="K209" s="61"/>
    </row>
    <row r="210" spans="1:11" ht="19.95" customHeight="1" x14ac:dyDescent="0.35">
      <c r="A210" s="1" t="s">
        <v>323</v>
      </c>
      <c r="B210" s="1"/>
      <c r="C210" s="1"/>
      <c r="D210" s="1"/>
      <c r="E210" s="1"/>
      <c r="F210" s="1"/>
      <c r="G210" s="1"/>
      <c r="H210" s="1"/>
      <c r="I210" s="1"/>
      <c r="J210" s="1"/>
      <c r="K210" s="119"/>
    </row>
    <row r="211" spans="1:11" ht="19.95" customHeight="1" x14ac:dyDescent="0.35">
      <c r="B211" s="61"/>
      <c r="C211" s="35"/>
      <c r="D211" s="118"/>
      <c r="E211" s="54"/>
      <c r="F211" s="35"/>
      <c r="G211" s="125"/>
      <c r="H211" s="61"/>
      <c r="I211" s="35"/>
      <c r="J211" s="35"/>
      <c r="K211" s="61"/>
    </row>
    <row r="212" spans="1:11" ht="19.95" customHeight="1" x14ac:dyDescent="0.35">
      <c r="A212" s="9" t="s">
        <v>1</v>
      </c>
      <c r="B212" s="9" t="s">
        <v>2</v>
      </c>
      <c r="C212" s="9" t="s">
        <v>3</v>
      </c>
      <c r="D212" s="11" t="s">
        <v>4</v>
      </c>
      <c r="E212" s="120" t="s">
        <v>5</v>
      </c>
      <c r="F212" s="9" t="s">
        <v>6</v>
      </c>
      <c r="G212" s="9" t="s">
        <v>7</v>
      </c>
      <c r="H212" s="9" t="s">
        <v>8</v>
      </c>
      <c r="I212" s="9" t="s">
        <v>9</v>
      </c>
      <c r="J212" s="9" t="s">
        <v>10</v>
      </c>
      <c r="K212" s="9" t="s">
        <v>11</v>
      </c>
    </row>
    <row r="213" spans="1:11" ht="19.95" customHeight="1" x14ac:dyDescent="0.35">
      <c r="A213" s="14"/>
      <c r="B213" s="14"/>
      <c r="C213" s="14"/>
      <c r="D213" s="16"/>
      <c r="E213" s="121"/>
      <c r="F213" s="14"/>
      <c r="G213" s="14"/>
      <c r="H213" s="14"/>
      <c r="I213" s="14"/>
      <c r="J213" s="14"/>
      <c r="K213" s="14"/>
    </row>
    <row r="214" spans="1:11" ht="62.4" x14ac:dyDescent="0.35">
      <c r="A214" s="23" t="s">
        <v>78</v>
      </c>
      <c r="B214" s="59" t="s">
        <v>20</v>
      </c>
      <c r="C214" s="59" t="s">
        <v>14</v>
      </c>
      <c r="D214" s="30" t="s">
        <v>324</v>
      </c>
      <c r="E214" s="109">
        <v>275751.95</v>
      </c>
      <c r="F214" s="23" t="s">
        <v>325</v>
      </c>
      <c r="G214" s="26" t="s">
        <v>311</v>
      </c>
      <c r="H214" s="26" t="s">
        <v>326</v>
      </c>
      <c r="I214" s="27" t="s">
        <v>24</v>
      </c>
      <c r="J214" s="24" t="s">
        <v>325</v>
      </c>
      <c r="K214" s="24" t="s">
        <v>14</v>
      </c>
    </row>
    <row r="215" spans="1:11" ht="19.95" customHeight="1" x14ac:dyDescent="0.35">
      <c r="A215" s="99"/>
      <c r="B215" s="99"/>
      <c r="C215" s="99"/>
      <c r="D215" s="99"/>
      <c r="E215" s="115"/>
      <c r="F215" s="99"/>
      <c r="G215" s="99"/>
      <c r="H215" s="99"/>
      <c r="I215" s="99"/>
      <c r="J215" s="99"/>
      <c r="K215" s="99"/>
    </row>
    <row r="216" spans="1:11" ht="19.95" customHeight="1" x14ac:dyDescent="0.35">
      <c r="A216" s="99"/>
      <c r="B216" s="99"/>
      <c r="C216" s="99"/>
      <c r="D216" s="99"/>
      <c r="E216" s="103"/>
      <c r="F216" s="99"/>
      <c r="G216" s="99"/>
      <c r="H216" s="99"/>
      <c r="I216" s="99"/>
      <c r="J216" s="99"/>
      <c r="K216" s="99"/>
    </row>
    <row r="217" spans="1:11" ht="19.95" customHeight="1" x14ac:dyDescent="0.35">
      <c r="A217" s="1" t="s">
        <v>327</v>
      </c>
      <c r="B217" s="1"/>
      <c r="C217" s="1"/>
      <c r="D217" s="1"/>
      <c r="E217" s="1"/>
      <c r="F217" s="1"/>
      <c r="G217" s="1"/>
      <c r="H217" s="1"/>
      <c r="I217" s="1"/>
      <c r="J217" s="1"/>
      <c r="K217" s="119"/>
    </row>
    <row r="218" spans="1:11" ht="19.95" customHeight="1" x14ac:dyDescent="0.35">
      <c r="B218" s="61"/>
      <c r="C218" s="35"/>
      <c r="D218" s="118"/>
      <c r="E218" s="54"/>
      <c r="F218" s="35"/>
      <c r="G218" s="125"/>
      <c r="H218" s="61"/>
      <c r="I218" s="35"/>
      <c r="J218" s="35"/>
      <c r="K218" s="61"/>
    </row>
    <row r="219" spans="1:11" ht="19.95" customHeight="1" x14ac:dyDescent="0.35">
      <c r="A219" s="9" t="s">
        <v>1</v>
      </c>
      <c r="B219" s="9" t="s">
        <v>2</v>
      </c>
      <c r="C219" s="9" t="s">
        <v>3</v>
      </c>
      <c r="D219" s="9" t="s">
        <v>4</v>
      </c>
      <c r="E219" s="120" t="s">
        <v>5</v>
      </c>
      <c r="F219" s="9" t="s">
        <v>6</v>
      </c>
      <c r="G219" s="9" t="s">
        <v>7</v>
      </c>
      <c r="H219" s="9" t="s">
        <v>8</v>
      </c>
      <c r="I219" s="9" t="s">
        <v>9</v>
      </c>
      <c r="J219" s="9" t="s">
        <v>10</v>
      </c>
      <c r="K219" s="9" t="s">
        <v>11</v>
      </c>
    </row>
    <row r="220" spans="1:11" ht="19.95" customHeight="1" x14ac:dyDescent="0.35">
      <c r="A220" s="14"/>
      <c r="B220" s="14"/>
      <c r="C220" s="14"/>
      <c r="D220" s="14"/>
      <c r="E220" s="121"/>
      <c r="F220" s="14"/>
      <c r="G220" s="14"/>
      <c r="H220" s="14"/>
      <c r="I220" s="14"/>
      <c r="J220" s="14"/>
      <c r="K220" s="14"/>
    </row>
    <row r="221" spans="1:11" ht="78" x14ac:dyDescent="0.35">
      <c r="A221" s="23" t="s">
        <v>328</v>
      </c>
      <c r="B221" s="59" t="s">
        <v>13</v>
      </c>
      <c r="C221" s="24" t="s">
        <v>19</v>
      </c>
      <c r="D221" s="23" t="s">
        <v>329</v>
      </c>
      <c r="E221" s="29">
        <v>41325</v>
      </c>
      <c r="F221" s="23" t="s">
        <v>14</v>
      </c>
      <c r="G221" s="27" t="s">
        <v>39</v>
      </c>
      <c r="H221" s="23" t="s">
        <v>330</v>
      </c>
      <c r="I221" s="27" t="s">
        <v>331</v>
      </c>
      <c r="J221" s="24" t="s">
        <v>14</v>
      </c>
      <c r="K221" s="59" t="s">
        <v>14</v>
      </c>
    </row>
    <row r="222" spans="1:11" ht="93.6" x14ac:dyDescent="0.35">
      <c r="A222" s="23" t="s">
        <v>328</v>
      </c>
      <c r="B222" s="59" t="s">
        <v>13</v>
      </c>
      <c r="C222" s="24" t="s">
        <v>72</v>
      </c>
      <c r="D222" s="23" t="s">
        <v>332</v>
      </c>
      <c r="E222" s="29">
        <v>37644.629999999997</v>
      </c>
      <c r="F222" s="23" t="s">
        <v>19</v>
      </c>
      <c r="G222" s="27" t="s">
        <v>39</v>
      </c>
      <c r="H222" s="26" t="s">
        <v>333</v>
      </c>
      <c r="I222" s="27" t="s">
        <v>77</v>
      </c>
      <c r="J222" s="24" t="s">
        <v>14</v>
      </c>
      <c r="K222" s="59" t="s">
        <v>14</v>
      </c>
    </row>
    <row r="223" spans="1:11" ht="62.4" x14ac:dyDescent="0.35">
      <c r="A223" s="23" t="s">
        <v>328</v>
      </c>
      <c r="B223" s="59" t="s">
        <v>268</v>
      </c>
      <c r="C223" s="24" t="s">
        <v>214</v>
      </c>
      <c r="D223" s="23" t="s">
        <v>334</v>
      </c>
      <c r="E223" s="29">
        <v>32055</v>
      </c>
      <c r="F223" s="23" t="s">
        <v>14</v>
      </c>
      <c r="G223" s="27" t="s">
        <v>39</v>
      </c>
      <c r="H223" s="102">
        <v>92312240</v>
      </c>
      <c r="I223" s="27" t="s">
        <v>272</v>
      </c>
      <c r="J223" s="24" t="s">
        <v>14</v>
      </c>
      <c r="K223" s="59" t="s">
        <v>14</v>
      </c>
    </row>
    <row r="224" spans="1:11" ht="62.4" x14ac:dyDescent="0.35">
      <c r="A224" s="23" t="s">
        <v>328</v>
      </c>
      <c r="B224" s="59" t="s">
        <v>94</v>
      </c>
      <c r="C224" s="24" t="s">
        <v>19</v>
      </c>
      <c r="D224" s="23" t="s">
        <v>335</v>
      </c>
      <c r="E224" s="29">
        <v>37190</v>
      </c>
      <c r="F224" s="23" t="s">
        <v>14</v>
      </c>
      <c r="G224" s="23" t="s">
        <v>336</v>
      </c>
      <c r="H224" s="24">
        <v>44111000</v>
      </c>
      <c r="I224" s="24" t="s">
        <v>49</v>
      </c>
      <c r="J224" s="24" t="s">
        <v>14</v>
      </c>
      <c r="K224" s="59" t="s">
        <v>14</v>
      </c>
    </row>
    <row r="225" spans="1:11" ht="62.4" x14ac:dyDescent="0.35">
      <c r="A225" s="23" t="s">
        <v>328</v>
      </c>
      <c r="B225" s="59" t="s">
        <v>337</v>
      </c>
      <c r="C225" s="24" t="s">
        <v>19</v>
      </c>
      <c r="D225" s="23" t="s">
        <v>338</v>
      </c>
      <c r="E225" s="29">
        <v>112000</v>
      </c>
      <c r="F225" s="23" t="s">
        <v>14</v>
      </c>
      <c r="G225" s="23" t="s">
        <v>336</v>
      </c>
      <c r="H225" s="24">
        <v>44111000</v>
      </c>
      <c r="I225" s="24" t="s">
        <v>339</v>
      </c>
      <c r="J225" s="24" t="s">
        <v>14</v>
      </c>
      <c r="K225" s="59" t="s">
        <v>14</v>
      </c>
    </row>
    <row r="226" spans="1:11" ht="62.4" x14ac:dyDescent="0.35">
      <c r="A226" s="23" t="s">
        <v>328</v>
      </c>
      <c r="B226" s="59" t="s">
        <v>268</v>
      </c>
      <c r="C226" s="24" t="s">
        <v>19</v>
      </c>
      <c r="D226" s="23" t="s">
        <v>340</v>
      </c>
      <c r="E226" s="29">
        <v>27100</v>
      </c>
      <c r="F226" s="23" t="s">
        <v>14</v>
      </c>
      <c r="G226" s="24" t="s">
        <v>341</v>
      </c>
      <c r="H226" s="24">
        <v>725110000</v>
      </c>
      <c r="I226" s="27" t="s">
        <v>77</v>
      </c>
      <c r="J226" s="24" t="s">
        <v>19</v>
      </c>
      <c r="K226" s="59" t="s">
        <v>14</v>
      </c>
    </row>
    <row r="227" spans="1:11" ht="19.95" customHeight="1" x14ac:dyDescent="0.35">
      <c r="A227" s="99"/>
      <c r="B227" s="99"/>
      <c r="C227" s="99"/>
      <c r="D227" s="99"/>
      <c r="E227" s="103"/>
      <c r="F227" s="99"/>
      <c r="G227" s="99"/>
      <c r="H227" s="99"/>
      <c r="I227" s="99"/>
      <c r="J227" s="99"/>
      <c r="K227" s="99"/>
    </row>
    <row r="228" spans="1:11" ht="19.95" customHeight="1" x14ac:dyDescent="0.35">
      <c r="A228" s="99"/>
      <c r="B228" s="99"/>
      <c r="C228" s="99"/>
      <c r="D228" s="99"/>
      <c r="E228" s="103"/>
      <c r="F228" s="99"/>
      <c r="G228" s="99"/>
      <c r="H228" s="99"/>
      <c r="I228" s="99"/>
      <c r="J228" s="99"/>
      <c r="K228" s="99"/>
    </row>
    <row r="229" spans="1:11" ht="19.95" customHeight="1" x14ac:dyDescent="0.35">
      <c r="A229" s="1" t="s">
        <v>342</v>
      </c>
      <c r="B229" s="1"/>
      <c r="C229" s="1"/>
      <c r="D229" s="1"/>
      <c r="E229" s="1"/>
      <c r="F229" s="1"/>
      <c r="G229" s="1"/>
      <c r="H229" s="1"/>
      <c r="I229" s="1"/>
      <c r="J229" s="1"/>
      <c r="K229" s="119"/>
    </row>
    <row r="230" spans="1:11" ht="19.95" customHeight="1" x14ac:dyDescent="0.35">
      <c r="B230" s="61"/>
      <c r="C230" s="35"/>
      <c r="D230" s="118"/>
      <c r="E230" s="54"/>
      <c r="F230" s="35"/>
      <c r="G230" s="125"/>
      <c r="H230" s="61"/>
      <c r="I230" s="35"/>
      <c r="J230" s="35"/>
      <c r="K230" s="61"/>
    </row>
    <row r="231" spans="1:11" ht="19.95" customHeight="1" x14ac:dyDescent="0.35">
      <c r="A231" s="9" t="s">
        <v>1</v>
      </c>
      <c r="B231" s="9" t="s">
        <v>2</v>
      </c>
      <c r="C231" s="9" t="s">
        <v>3</v>
      </c>
      <c r="D231" s="126"/>
      <c r="E231" s="120" t="s">
        <v>5</v>
      </c>
      <c r="F231" s="9" t="s">
        <v>6</v>
      </c>
      <c r="G231" s="9" t="s">
        <v>7</v>
      </c>
      <c r="H231" s="9" t="s">
        <v>8</v>
      </c>
      <c r="I231" s="9" t="s">
        <v>9</v>
      </c>
      <c r="J231" s="9" t="s">
        <v>10</v>
      </c>
      <c r="K231" s="9" t="s">
        <v>11</v>
      </c>
    </row>
    <row r="232" spans="1:11" ht="19.95" customHeight="1" x14ac:dyDescent="0.35">
      <c r="A232" s="14"/>
      <c r="B232" s="14"/>
      <c r="C232" s="14"/>
      <c r="D232" s="127"/>
      <c r="E232" s="121"/>
      <c r="F232" s="14"/>
      <c r="G232" s="14"/>
      <c r="H232" s="14"/>
      <c r="I232" s="14"/>
      <c r="J232" s="14"/>
      <c r="K232" s="14"/>
    </row>
    <row r="233" spans="1:11" ht="78" x14ac:dyDescent="0.35">
      <c r="A233" s="23" t="s">
        <v>343</v>
      </c>
      <c r="B233" s="24" t="s">
        <v>20</v>
      </c>
      <c r="C233" s="24" t="s">
        <v>72</v>
      </c>
      <c r="D233" s="23" t="s">
        <v>344</v>
      </c>
      <c r="E233" s="29">
        <v>33907</v>
      </c>
      <c r="F233" s="23" t="s">
        <v>14</v>
      </c>
      <c r="G233" s="27" t="s">
        <v>39</v>
      </c>
      <c r="H233" s="128">
        <v>92331100</v>
      </c>
      <c r="I233" s="27" t="s">
        <v>18</v>
      </c>
      <c r="J233" s="24" t="s">
        <v>108</v>
      </c>
      <c r="K233" s="59" t="s">
        <v>14</v>
      </c>
    </row>
    <row r="234" spans="1:11" ht="62.4" x14ac:dyDescent="0.35">
      <c r="A234" s="30" t="s">
        <v>345</v>
      </c>
      <c r="B234" s="24" t="s">
        <v>20</v>
      </c>
      <c r="C234" s="24" t="s">
        <v>14</v>
      </c>
      <c r="D234" s="23" t="s">
        <v>346</v>
      </c>
      <c r="E234" s="29">
        <v>91300</v>
      </c>
      <c r="F234" s="23" t="s">
        <v>14</v>
      </c>
      <c r="G234" s="27" t="s">
        <v>39</v>
      </c>
      <c r="H234" s="128" t="s">
        <v>347</v>
      </c>
      <c r="I234" s="27" t="s">
        <v>18</v>
      </c>
      <c r="J234" s="24" t="s">
        <v>108</v>
      </c>
      <c r="K234" s="59" t="s">
        <v>14</v>
      </c>
    </row>
    <row r="235" spans="1:11" ht="78" x14ac:dyDescent="0.35">
      <c r="A235" s="58" t="s">
        <v>343</v>
      </c>
      <c r="B235" s="24" t="s">
        <v>20</v>
      </c>
      <c r="C235" s="24" t="s">
        <v>72</v>
      </c>
      <c r="D235" s="23" t="s">
        <v>348</v>
      </c>
      <c r="E235" s="29">
        <v>10500</v>
      </c>
      <c r="F235" s="23" t="s">
        <v>14</v>
      </c>
      <c r="G235" s="27" t="s">
        <v>39</v>
      </c>
      <c r="H235" s="128" t="s">
        <v>349</v>
      </c>
      <c r="I235" s="27" t="s">
        <v>18</v>
      </c>
      <c r="J235" s="24" t="s">
        <v>108</v>
      </c>
      <c r="K235" s="59" t="s">
        <v>14</v>
      </c>
    </row>
    <row r="236" spans="1:11" ht="62.4" x14ac:dyDescent="0.35">
      <c r="A236" s="30" t="s">
        <v>345</v>
      </c>
      <c r="B236" s="24" t="s">
        <v>13</v>
      </c>
      <c r="C236" s="24" t="s">
        <v>14</v>
      </c>
      <c r="D236" s="23" t="s">
        <v>350</v>
      </c>
      <c r="E236" s="129">
        <v>92561.98</v>
      </c>
      <c r="F236" s="23" t="s">
        <v>14</v>
      </c>
      <c r="G236" s="27" t="s">
        <v>60</v>
      </c>
      <c r="H236" s="128" t="s">
        <v>351</v>
      </c>
      <c r="I236" s="24" t="s">
        <v>18</v>
      </c>
      <c r="J236" s="24" t="s">
        <v>14</v>
      </c>
      <c r="K236" s="59" t="s">
        <v>14</v>
      </c>
    </row>
    <row r="237" spans="1:11" ht="62.4" x14ac:dyDescent="0.35">
      <c r="A237" s="30" t="s">
        <v>234</v>
      </c>
      <c r="B237" s="24" t="s">
        <v>94</v>
      </c>
      <c r="C237" s="24" t="s">
        <v>14</v>
      </c>
      <c r="D237" s="23" t="s">
        <v>352</v>
      </c>
      <c r="E237" s="129">
        <v>114049.58</v>
      </c>
      <c r="F237" s="23" t="s">
        <v>72</v>
      </c>
      <c r="G237" s="27" t="s">
        <v>60</v>
      </c>
      <c r="H237" s="23" t="s">
        <v>353</v>
      </c>
      <c r="I237" s="24" t="s">
        <v>18</v>
      </c>
      <c r="J237" s="24" t="s">
        <v>354</v>
      </c>
      <c r="K237" s="59" t="s">
        <v>14</v>
      </c>
    </row>
    <row r="238" spans="1:11" ht="78" x14ac:dyDescent="0.35">
      <c r="A238" s="58" t="s">
        <v>343</v>
      </c>
      <c r="B238" s="24" t="s">
        <v>13</v>
      </c>
      <c r="C238" s="24" t="s">
        <v>72</v>
      </c>
      <c r="D238" s="23" t="s">
        <v>355</v>
      </c>
      <c r="E238" s="130">
        <v>8264.4599999999991</v>
      </c>
      <c r="F238" s="23" t="s">
        <v>14</v>
      </c>
      <c r="G238" s="27" t="s">
        <v>60</v>
      </c>
      <c r="H238" s="128" t="s">
        <v>356</v>
      </c>
      <c r="I238" s="24" t="s">
        <v>357</v>
      </c>
      <c r="J238" s="24" t="s">
        <v>14</v>
      </c>
      <c r="K238" s="59" t="s">
        <v>14</v>
      </c>
    </row>
    <row r="239" spans="1:11" ht="62.4" x14ac:dyDescent="0.35">
      <c r="A239" s="23" t="s">
        <v>345</v>
      </c>
      <c r="B239" s="24" t="s">
        <v>13</v>
      </c>
      <c r="C239" s="24" t="s">
        <v>14</v>
      </c>
      <c r="D239" s="23" t="s">
        <v>358</v>
      </c>
      <c r="E239" s="130">
        <v>826.45</v>
      </c>
      <c r="F239" s="23" t="s">
        <v>14</v>
      </c>
      <c r="G239" s="27" t="s">
        <v>60</v>
      </c>
      <c r="H239" s="128">
        <v>22113000</v>
      </c>
      <c r="I239" s="24" t="s">
        <v>100</v>
      </c>
      <c r="J239" s="24" t="s">
        <v>14</v>
      </c>
      <c r="K239" s="59" t="s">
        <v>14</v>
      </c>
    </row>
    <row r="240" spans="1:11" ht="78" x14ac:dyDescent="0.35">
      <c r="A240" s="58" t="s">
        <v>343</v>
      </c>
      <c r="B240" s="24" t="s">
        <v>13</v>
      </c>
      <c r="C240" s="24" t="s">
        <v>72</v>
      </c>
      <c r="D240" s="23" t="s">
        <v>359</v>
      </c>
      <c r="E240" s="130">
        <v>12396.69</v>
      </c>
      <c r="F240" s="23" t="s">
        <v>14</v>
      </c>
      <c r="G240" s="27" t="s">
        <v>60</v>
      </c>
      <c r="H240" s="128" t="s">
        <v>360</v>
      </c>
      <c r="I240" s="24" t="s">
        <v>49</v>
      </c>
      <c r="J240" s="24" t="s">
        <v>14</v>
      </c>
      <c r="K240" s="59" t="s">
        <v>14</v>
      </c>
    </row>
    <row r="241" spans="1:11" ht="19.95" customHeight="1" x14ac:dyDescent="0.35">
      <c r="A241" s="99"/>
      <c r="B241" s="99"/>
      <c r="C241" s="99"/>
      <c r="D241" s="99"/>
      <c r="E241" s="103"/>
      <c r="F241" s="99"/>
      <c r="G241" s="99"/>
      <c r="H241" s="99"/>
      <c r="I241" s="99"/>
      <c r="J241" s="99"/>
      <c r="K241" s="99"/>
    </row>
    <row r="242" spans="1:11" ht="19.95" customHeight="1" x14ac:dyDescent="0.35">
      <c r="A242" s="99"/>
      <c r="B242" s="99"/>
      <c r="C242" s="99"/>
      <c r="D242" s="99"/>
      <c r="E242" s="103"/>
      <c r="F242" s="99"/>
      <c r="G242" s="99"/>
      <c r="H242" s="99"/>
      <c r="I242" s="99"/>
      <c r="J242" s="99"/>
      <c r="K242" s="99"/>
    </row>
    <row r="243" spans="1:11" ht="19.95" customHeight="1" x14ac:dyDescent="0.35">
      <c r="A243" s="99"/>
      <c r="B243" s="99"/>
      <c r="C243" s="99"/>
      <c r="D243" s="99"/>
      <c r="E243" s="103"/>
      <c r="F243" s="99"/>
      <c r="G243" s="99"/>
      <c r="H243" s="99"/>
      <c r="I243" s="99"/>
      <c r="J243" s="99"/>
      <c r="K243" s="99"/>
    </row>
    <row r="244" spans="1:11" ht="19.95" customHeight="1" x14ac:dyDescent="0.35">
      <c r="A244" s="99"/>
      <c r="B244" s="99"/>
      <c r="C244" s="99"/>
      <c r="D244" s="99"/>
      <c r="E244" s="103"/>
      <c r="F244" s="99"/>
      <c r="G244" s="99"/>
      <c r="H244" s="99"/>
      <c r="I244" s="99"/>
      <c r="J244" s="99"/>
      <c r="K244" s="99"/>
    </row>
    <row r="245" spans="1:11" ht="19.95" customHeight="1" x14ac:dyDescent="0.35">
      <c r="A245" s="99"/>
      <c r="B245" s="99"/>
      <c r="C245" s="99"/>
      <c r="D245" s="99"/>
      <c r="E245" s="103"/>
      <c r="F245" s="99"/>
      <c r="G245" s="99"/>
      <c r="H245" s="99"/>
      <c r="I245" s="99"/>
      <c r="J245" s="99"/>
      <c r="K245" s="99"/>
    </row>
    <row r="246" spans="1:11" ht="19.95" customHeight="1" x14ac:dyDescent="0.35">
      <c r="A246" s="1" t="s">
        <v>361</v>
      </c>
      <c r="B246" s="1"/>
      <c r="C246" s="1"/>
      <c r="D246" s="1"/>
      <c r="E246" s="1"/>
      <c r="F246" s="1"/>
      <c r="G246" s="1"/>
      <c r="H246" s="1"/>
      <c r="I246" s="1"/>
      <c r="J246" s="1"/>
      <c r="K246" s="119"/>
    </row>
    <row r="247" spans="1:11" ht="19.95" customHeight="1" x14ac:dyDescent="0.35">
      <c r="B247" s="61"/>
      <c r="C247" s="35"/>
      <c r="D247" s="118"/>
      <c r="E247" s="54"/>
      <c r="F247" s="35"/>
      <c r="G247" s="125"/>
      <c r="H247" s="61"/>
      <c r="I247" s="35"/>
      <c r="J247" s="35"/>
      <c r="K247" s="61"/>
    </row>
    <row r="248" spans="1:11" ht="19.95" customHeight="1" x14ac:dyDescent="0.35">
      <c r="A248" s="9" t="s">
        <v>1</v>
      </c>
      <c r="B248" s="9" t="s">
        <v>2</v>
      </c>
      <c r="C248" s="9" t="s">
        <v>3</v>
      </c>
      <c r="D248" s="9" t="s">
        <v>4</v>
      </c>
      <c r="E248" s="120" t="s">
        <v>5</v>
      </c>
      <c r="F248" s="9" t="s">
        <v>6</v>
      </c>
      <c r="G248" s="9" t="s">
        <v>7</v>
      </c>
      <c r="H248" s="9" t="s">
        <v>8</v>
      </c>
      <c r="I248" s="9" t="s">
        <v>9</v>
      </c>
      <c r="J248" s="9" t="s">
        <v>10</v>
      </c>
      <c r="K248" s="9" t="s">
        <v>11</v>
      </c>
    </row>
    <row r="249" spans="1:11" ht="19.95" customHeight="1" x14ac:dyDescent="0.35">
      <c r="A249" s="14"/>
      <c r="B249" s="14"/>
      <c r="C249" s="14"/>
      <c r="D249" s="14"/>
      <c r="E249" s="121"/>
      <c r="F249" s="14"/>
      <c r="G249" s="14"/>
      <c r="H249" s="14"/>
      <c r="I249" s="14"/>
      <c r="J249" s="14"/>
      <c r="K249" s="14"/>
    </row>
    <row r="250" spans="1:11" ht="62.4" x14ac:dyDescent="0.35">
      <c r="A250" s="30" t="s">
        <v>345</v>
      </c>
      <c r="B250" s="24" t="s">
        <v>20</v>
      </c>
      <c r="C250" s="24" t="s">
        <v>14</v>
      </c>
      <c r="D250" s="23" t="s">
        <v>362</v>
      </c>
      <c r="E250" s="29">
        <v>238000</v>
      </c>
      <c r="F250" s="23" t="s">
        <v>72</v>
      </c>
      <c r="G250" s="27" t="s">
        <v>60</v>
      </c>
      <c r="H250" s="26" t="s">
        <v>363</v>
      </c>
      <c r="I250" s="27" t="s">
        <v>24</v>
      </c>
      <c r="J250" s="24" t="s">
        <v>72</v>
      </c>
      <c r="K250" s="24" t="s">
        <v>14</v>
      </c>
    </row>
    <row r="251" spans="1:11" ht="19.95" customHeight="1" x14ac:dyDescent="0.35">
      <c r="A251" s="99"/>
      <c r="B251" s="99"/>
      <c r="C251" s="99"/>
      <c r="D251" s="99"/>
      <c r="E251" s="54"/>
      <c r="F251" s="99"/>
      <c r="G251" s="99"/>
      <c r="H251" s="99"/>
      <c r="I251" s="99"/>
      <c r="J251" s="99"/>
      <c r="K251" s="99"/>
    </row>
    <row r="252" spans="1:11" ht="19.95" customHeight="1" x14ac:dyDescent="0.35">
      <c r="A252" s="99"/>
      <c r="B252" s="99"/>
      <c r="C252" s="99"/>
      <c r="D252" s="99"/>
      <c r="E252" s="54"/>
      <c r="F252" s="99"/>
      <c r="G252" s="99"/>
      <c r="H252" s="99"/>
      <c r="I252" s="99"/>
      <c r="J252" s="99"/>
      <c r="K252" s="99"/>
    </row>
    <row r="253" spans="1:11" ht="19.95" customHeight="1" x14ac:dyDescent="0.35">
      <c r="A253" s="99"/>
      <c r="B253" s="99"/>
      <c r="C253" s="99"/>
      <c r="D253" s="99"/>
      <c r="E253" s="54"/>
      <c r="F253" s="99"/>
      <c r="G253" s="99"/>
      <c r="H253" s="99"/>
      <c r="I253" s="99"/>
      <c r="J253" s="99"/>
      <c r="K253" s="99"/>
    </row>
    <row r="254" spans="1:11" ht="19.95" customHeight="1" x14ac:dyDescent="0.35">
      <c r="A254" s="99"/>
      <c r="B254" s="99"/>
      <c r="C254" s="99"/>
      <c r="D254" s="99"/>
      <c r="E254" s="103"/>
      <c r="F254" s="99"/>
      <c r="G254" s="99"/>
      <c r="H254" s="99"/>
      <c r="I254" s="99"/>
      <c r="J254" s="99"/>
      <c r="K254" s="99"/>
    </row>
    <row r="255" spans="1:11" ht="19.95" customHeight="1" x14ac:dyDescent="0.35">
      <c r="A255" s="1" t="s">
        <v>364</v>
      </c>
      <c r="B255" s="1"/>
      <c r="C255" s="1"/>
      <c r="D255" s="1"/>
      <c r="E255" s="1"/>
      <c r="F255" s="1"/>
      <c r="G255" s="1"/>
      <c r="H255" s="1"/>
      <c r="I255" s="1"/>
      <c r="J255" s="1"/>
      <c r="K255" s="119"/>
    </row>
    <row r="256" spans="1:11" ht="19.95" customHeight="1" x14ac:dyDescent="0.35">
      <c r="B256" s="61"/>
      <c r="C256" s="35"/>
      <c r="D256" s="118"/>
      <c r="E256" s="54"/>
      <c r="F256" s="35"/>
      <c r="G256" s="125"/>
      <c r="H256" s="61"/>
      <c r="I256" s="35"/>
      <c r="J256" s="35"/>
      <c r="K256" s="61"/>
    </row>
    <row r="257" spans="1:11" ht="19.95" customHeight="1" x14ac:dyDescent="0.35">
      <c r="A257" s="9" t="s">
        <v>1</v>
      </c>
      <c r="B257" s="9" t="s">
        <v>2</v>
      </c>
      <c r="C257" s="9" t="s">
        <v>3</v>
      </c>
      <c r="D257" s="9" t="s">
        <v>4</v>
      </c>
      <c r="E257" s="120" t="s">
        <v>5</v>
      </c>
      <c r="F257" s="9" t="s">
        <v>6</v>
      </c>
      <c r="G257" s="9" t="s">
        <v>7</v>
      </c>
      <c r="H257" s="9" t="s">
        <v>8</v>
      </c>
      <c r="I257" s="9" t="s">
        <v>9</v>
      </c>
      <c r="J257" s="9" t="s">
        <v>10</v>
      </c>
      <c r="K257" s="9" t="s">
        <v>11</v>
      </c>
    </row>
    <row r="258" spans="1:11" ht="19.95" customHeight="1" x14ac:dyDescent="0.35">
      <c r="A258" s="14"/>
      <c r="B258" s="14"/>
      <c r="C258" s="14"/>
      <c r="D258" s="14"/>
      <c r="E258" s="121"/>
      <c r="F258" s="14"/>
      <c r="G258" s="14"/>
      <c r="H258" s="14"/>
      <c r="I258" s="14"/>
      <c r="J258" s="14"/>
      <c r="K258" s="14"/>
    </row>
    <row r="259" spans="1:11" ht="141.6" customHeight="1" x14ac:dyDescent="0.35">
      <c r="A259" s="57" t="s">
        <v>365</v>
      </c>
      <c r="B259" s="24" t="s">
        <v>20</v>
      </c>
      <c r="C259" s="24" t="s">
        <v>72</v>
      </c>
      <c r="D259" s="23" t="s">
        <v>366</v>
      </c>
      <c r="E259" s="29">
        <v>59999</v>
      </c>
      <c r="F259" s="23" t="s">
        <v>14</v>
      </c>
      <c r="G259" s="27" t="s">
        <v>60</v>
      </c>
      <c r="H259" s="131">
        <v>79952000</v>
      </c>
      <c r="I259" s="27" t="s">
        <v>367</v>
      </c>
      <c r="J259" s="24" t="s">
        <v>14</v>
      </c>
      <c r="K259" s="24" t="s">
        <v>14</v>
      </c>
    </row>
    <row r="260" spans="1:11" ht="142.19999999999999" customHeight="1" x14ac:dyDescent="0.35">
      <c r="A260" s="30" t="s">
        <v>345</v>
      </c>
      <c r="B260" s="24" t="s">
        <v>20</v>
      </c>
      <c r="C260" s="24" t="s">
        <v>14</v>
      </c>
      <c r="D260" s="30" t="s">
        <v>368</v>
      </c>
      <c r="E260" s="29">
        <v>15000</v>
      </c>
      <c r="F260" s="23" t="s">
        <v>14</v>
      </c>
      <c r="G260" s="27" t="s">
        <v>60</v>
      </c>
      <c r="H260" s="131">
        <v>79952000</v>
      </c>
      <c r="I260" s="27" t="s">
        <v>295</v>
      </c>
      <c r="J260" s="24" t="s">
        <v>14</v>
      </c>
      <c r="K260" s="24" t="s">
        <v>14</v>
      </c>
    </row>
    <row r="261" spans="1:11" ht="78" x14ac:dyDescent="0.35">
      <c r="A261" s="58" t="s">
        <v>365</v>
      </c>
      <c r="B261" s="24" t="s">
        <v>20</v>
      </c>
      <c r="C261" s="24" t="s">
        <v>72</v>
      </c>
      <c r="D261" s="23" t="s">
        <v>369</v>
      </c>
      <c r="E261" s="29">
        <v>21486.6</v>
      </c>
      <c r="F261" s="23" t="s">
        <v>14</v>
      </c>
      <c r="G261" s="24" t="s">
        <v>60</v>
      </c>
      <c r="H261" s="24">
        <v>63712700</v>
      </c>
      <c r="I261" s="24" t="s">
        <v>370</v>
      </c>
      <c r="J261" s="24" t="s">
        <v>14</v>
      </c>
      <c r="K261" s="24" t="s">
        <v>14</v>
      </c>
    </row>
    <row r="262" spans="1:11" ht="91.8" customHeight="1" x14ac:dyDescent="0.35">
      <c r="A262" s="58" t="s">
        <v>365</v>
      </c>
      <c r="B262" s="24" t="s">
        <v>20</v>
      </c>
      <c r="C262" s="24" t="s">
        <v>72</v>
      </c>
      <c r="D262" s="24" t="s">
        <v>371</v>
      </c>
      <c r="E262" s="29">
        <v>39203</v>
      </c>
      <c r="F262" s="23" t="s">
        <v>14</v>
      </c>
      <c r="G262" s="24" t="s">
        <v>154</v>
      </c>
      <c r="H262" s="24">
        <v>79952000</v>
      </c>
      <c r="I262" s="24" t="s">
        <v>372</v>
      </c>
      <c r="J262" s="24" t="s">
        <v>14</v>
      </c>
      <c r="K262" s="24" t="s">
        <v>14</v>
      </c>
    </row>
    <row r="263" spans="1:11" ht="78" x14ac:dyDescent="0.35">
      <c r="A263" s="58" t="s">
        <v>365</v>
      </c>
      <c r="B263" s="24" t="s">
        <v>20</v>
      </c>
      <c r="C263" s="24" t="s">
        <v>72</v>
      </c>
      <c r="D263" s="23" t="s">
        <v>373</v>
      </c>
      <c r="E263" s="29">
        <v>59900</v>
      </c>
      <c r="F263" s="23" t="s">
        <v>14</v>
      </c>
      <c r="G263" s="24" t="s">
        <v>154</v>
      </c>
      <c r="H263" s="26" t="s">
        <v>266</v>
      </c>
      <c r="I263" s="24" t="s">
        <v>374</v>
      </c>
      <c r="J263" s="24" t="s">
        <v>14</v>
      </c>
      <c r="K263" s="24" t="s">
        <v>14</v>
      </c>
    </row>
    <row r="264" spans="1:11" ht="78" x14ac:dyDescent="0.35">
      <c r="A264" s="57" t="s">
        <v>365</v>
      </c>
      <c r="B264" s="24" t="s">
        <v>20</v>
      </c>
      <c r="C264" s="24" t="s">
        <v>72</v>
      </c>
      <c r="D264" s="23" t="s">
        <v>375</v>
      </c>
      <c r="E264" s="29">
        <v>41100</v>
      </c>
      <c r="F264" s="23" t="s">
        <v>14</v>
      </c>
      <c r="G264" s="27" t="s">
        <v>376</v>
      </c>
      <c r="H264" s="26" t="s">
        <v>266</v>
      </c>
      <c r="I264" s="27" t="s">
        <v>295</v>
      </c>
      <c r="J264" s="24" t="s">
        <v>14</v>
      </c>
      <c r="K264" s="24" t="s">
        <v>14</v>
      </c>
    </row>
    <row r="265" spans="1:11" ht="19.95" customHeight="1" x14ac:dyDescent="0.35"/>
    <row r="266" spans="1:11" ht="19.95" customHeight="1" x14ac:dyDescent="0.35"/>
    <row r="267" spans="1:11" ht="19.95" customHeight="1" x14ac:dyDescent="0.35">
      <c r="A267" s="1" t="s">
        <v>377</v>
      </c>
      <c r="B267" s="1"/>
      <c r="C267" s="1"/>
      <c r="D267" s="1"/>
      <c r="E267" s="1"/>
      <c r="F267" s="1"/>
      <c r="G267" s="1"/>
      <c r="H267" s="1"/>
      <c r="I267" s="1"/>
      <c r="J267" s="1"/>
      <c r="K267" s="2"/>
    </row>
    <row r="268" spans="1:11" ht="19.95" customHeight="1" x14ac:dyDescent="0.35">
      <c r="B268" s="36"/>
      <c r="C268" s="37"/>
      <c r="D268" s="38"/>
      <c r="E268" s="39"/>
      <c r="F268" s="40"/>
      <c r="G268" s="37"/>
      <c r="H268" s="37"/>
      <c r="I268" s="37"/>
      <c r="J268" s="41"/>
      <c r="K268" s="132"/>
    </row>
    <row r="269" spans="1:11" ht="19.95" customHeight="1" x14ac:dyDescent="0.35">
      <c r="A269" s="9" t="s">
        <v>1</v>
      </c>
      <c r="B269" s="9" t="s">
        <v>2</v>
      </c>
      <c r="C269" s="10" t="s">
        <v>3</v>
      </c>
      <c r="D269" s="9" t="s">
        <v>4</v>
      </c>
      <c r="E269" s="12" t="s">
        <v>5</v>
      </c>
      <c r="F269" s="11" t="s">
        <v>6</v>
      </c>
      <c r="G269" s="11" t="s">
        <v>7</v>
      </c>
      <c r="H269" s="11" t="s">
        <v>8</v>
      </c>
      <c r="I269" s="11" t="s">
        <v>9</v>
      </c>
      <c r="J269" s="13" t="s">
        <v>10</v>
      </c>
      <c r="K269" s="42" t="s">
        <v>11</v>
      </c>
    </row>
    <row r="270" spans="1:11" ht="19.95" customHeight="1" x14ac:dyDescent="0.35">
      <c r="A270" s="14"/>
      <c r="B270" s="14"/>
      <c r="C270" s="15"/>
      <c r="D270" s="14"/>
      <c r="E270" s="133"/>
      <c r="F270" s="134"/>
      <c r="G270" s="19"/>
      <c r="H270" s="19"/>
      <c r="I270" s="19"/>
      <c r="J270" s="135"/>
      <c r="K270" s="48"/>
    </row>
    <row r="271" spans="1:11" ht="62.4" x14ac:dyDescent="0.35">
      <c r="A271" s="23" t="s">
        <v>345</v>
      </c>
      <c r="B271" s="24" t="s">
        <v>20</v>
      </c>
      <c r="C271" s="24" t="s">
        <v>258</v>
      </c>
      <c r="D271" s="23" t="s">
        <v>378</v>
      </c>
      <c r="E271" s="29">
        <v>30000</v>
      </c>
      <c r="F271" s="23" t="s">
        <v>14</v>
      </c>
      <c r="G271" s="27" t="s">
        <v>39</v>
      </c>
      <c r="H271" s="26" t="s">
        <v>379</v>
      </c>
      <c r="I271" s="27" t="s">
        <v>18</v>
      </c>
      <c r="J271" s="24" t="s">
        <v>19</v>
      </c>
      <c r="K271" s="24" t="s">
        <v>14</v>
      </c>
    </row>
    <row r="272" spans="1:11" ht="62.4" x14ac:dyDescent="0.35">
      <c r="A272" s="23" t="s">
        <v>345</v>
      </c>
      <c r="B272" s="24" t="s">
        <v>20</v>
      </c>
      <c r="C272" s="24" t="s">
        <v>258</v>
      </c>
      <c r="D272" s="23" t="s">
        <v>380</v>
      </c>
      <c r="E272" s="29">
        <v>30000</v>
      </c>
      <c r="F272" s="23" t="s">
        <v>14</v>
      </c>
      <c r="G272" s="27" t="s">
        <v>39</v>
      </c>
      <c r="H272" s="26" t="s">
        <v>381</v>
      </c>
      <c r="I272" s="27" t="s">
        <v>18</v>
      </c>
      <c r="J272" s="24" t="s">
        <v>19</v>
      </c>
      <c r="K272" s="24" t="s">
        <v>14</v>
      </c>
    </row>
    <row r="273" spans="1:11" ht="19.95" customHeight="1" x14ac:dyDescent="0.35"/>
    <row r="274" spans="1:11" ht="19.95" customHeight="1" x14ac:dyDescent="0.35"/>
    <row r="275" spans="1:11" ht="19.95" customHeight="1" x14ac:dyDescent="0.35"/>
    <row r="276" spans="1:11" ht="19.95" customHeight="1" x14ac:dyDescent="0.35"/>
    <row r="277" spans="1:11" ht="19.95" customHeight="1" x14ac:dyDescent="0.35">
      <c r="A277" s="1" t="s">
        <v>382</v>
      </c>
      <c r="B277" s="1"/>
      <c r="C277" s="1"/>
      <c r="D277" s="1"/>
      <c r="E277" s="1"/>
      <c r="F277" s="1"/>
      <c r="G277" s="1"/>
      <c r="H277" s="1"/>
      <c r="I277" s="1"/>
      <c r="J277" s="1"/>
      <c r="K277" s="2"/>
    </row>
    <row r="278" spans="1:11" ht="19.95" customHeight="1" x14ac:dyDescent="0.35">
      <c r="B278" s="36"/>
      <c r="C278" s="37"/>
      <c r="D278" s="38"/>
      <c r="E278" s="39"/>
      <c r="F278" s="40"/>
      <c r="G278" s="37"/>
      <c r="H278" s="37"/>
      <c r="I278" s="37"/>
      <c r="J278" s="41"/>
      <c r="K278" s="136"/>
    </row>
    <row r="279" spans="1:11" ht="19.95" customHeight="1" x14ac:dyDescent="0.35">
      <c r="A279" s="9" t="s">
        <v>1</v>
      </c>
      <c r="B279" s="42" t="s">
        <v>2</v>
      </c>
      <c r="C279" s="10" t="s">
        <v>3</v>
      </c>
      <c r="D279" s="9" t="s">
        <v>4</v>
      </c>
      <c r="E279" s="12" t="s">
        <v>5</v>
      </c>
      <c r="F279" s="11" t="s">
        <v>6</v>
      </c>
      <c r="G279" s="11" t="s">
        <v>7</v>
      </c>
      <c r="H279" s="11" t="s">
        <v>8</v>
      </c>
      <c r="I279" s="11" t="s">
        <v>9</v>
      </c>
      <c r="J279" s="11" t="s">
        <v>10</v>
      </c>
      <c r="K279" s="11" t="s">
        <v>11</v>
      </c>
    </row>
    <row r="280" spans="1:11" ht="19.95" customHeight="1" x14ac:dyDescent="0.35">
      <c r="A280" s="14"/>
      <c r="B280" s="42"/>
      <c r="C280" s="15"/>
      <c r="D280" s="14"/>
      <c r="E280" s="133"/>
      <c r="F280" s="134"/>
      <c r="G280" s="19"/>
      <c r="H280" s="19"/>
      <c r="I280" s="19"/>
      <c r="J280" s="137"/>
      <c r="K280" s="138"/>
    </row>
    <row r="281" spans="1:11" ht="62.4" x14ac:dyDescent="0.35">
      <c r="A281" s="23" t="s">
        <v>345</v>
      </c>
      <c r="B281" s="23" t="s">
        <v>20</v>
      </c>
      <c r="C281" s="23" t="s">
        <v>14</v>
      </c>
      <c r="D281" s="23" t="s">
        <v>383</v>
      </c>
      <c r="E281" s="29">
        <v>432607</v>
      </c>
      <c r="F281" s="23" t="s">
        <v>72</v>
      </c>
      <c r="G281" s="23" t="s">
        <v>311</v>
      </c>
      <c r="H281" s="23">
        <v>98341120</v>
      </c>
      <c r="I281" s="23" t="s">
        <v>18</v>
      </c>
      <c r="J281" s="23" t="s">
        <v>72</v>
      </c>
      <c r="K281" s="23" t="s">
        <v>14</v>
      </c>
    </row>
    <row r="282" spans="1:11" ht="78" x14ac:dyDescent="0.35">
      <c r="A282" s="23" t="s">
        <v>345</v>
      </c>
      <c r="B282" s="23" t="s">
        <v>20</v>
      </c>
      <c r="C282" s="23" t="s">
        <v>14</v>
      </c>
      <c r="D282" s="23" t="s">
        <v>384</v>
      </c>
      <c r="E282" s="55">
        <v>72161.59</v>
      </c>
      <c r="F282" s="23" t="s">
        <v>14</v>
      </c>
      <c r="G282" s="23" t="s">
        <v>311</v>
      </c>
      <c r="H282" s="23">
        <v>72262009</v>
      </c>
      <c r="I282" s="23" t="s">
        <v>187</v>
      </c>
      <c r="J282" s="23" t="s">
        <v>72</v>
      </c>
      <c r="K282" s="23" t="s">
        <v>14</v>
      </c>
    </row>
    <row r="283" spans="1:11" ht="109.2" x14ac:dyDescent="0.35">
      <c r="A283" s="23" t="s">
        <v>385</v>
      </c>
      <c r="B283" s="23" t="s">
        <v>20</v>
      </c>
      <c r="C283" s="23" t="s">
        <v>72</v>
      </c>
      <c r="D283" s="23" t="s">
        <v>386</v>
      </c>
      <c r="E283" s="29">
        <v>13165.8</v>
      </c>
      <c r="F283" s="23" t="s">
        <v>14</v>
      </c>
      <c r="G283" s="23" t="s">
        <v>311</v>
      </c>
      <c r="H283" s="23">
        <v>79711000</v>
      </c>
      <c r="I283" s="23" t="s">
        <v>18</v>
      </c>
      <c r="J283" s="23" t="s">
        <v>72</v>
      </c>
      <c r="K283" s="23" t="s">
        <v>14</v>
      </c>
    </row>
    <row r="284" spans="1:11" ht="46.8" x14ac:dyDescent="0.35">
      <c r="A284" s="23" t="s">
        <v>385</v>
      </c>
      <c r="B284" s="23" t="s">
        <v>20</v>
      </c>
      <c r="C284" s="23" t="s">
        <v>72</v>
      </c>
      <c r="D284" s="23" t="s">
        <v>387</v>
      </c>
      <c r="E284" s="29">
        <v>59763</v>
      </c>
      <c r="F284" s="23" t="s">
        <v>72</v>
      </c>
      <c r="G284" s="23" t="s">
        <v>311</v>
      </c>
      <c r="H284" s="23">
        <v>80000000</v>
      </c>
      <c r="I284" s="23" t="s">
        <v>18</v>
      </c>
      <c r="J284" s="23" t="s">
        <v>72</v>
      </c>
      <c r="K284" s="23" t="s">
        <v>14</v>
      </c>
    </row>
    <row r="285" spans="1:11" x14ac:dyDescent="0.35">
      <c r="A285" s="61"/>
      <c r="B285" s="61"/>
      <c r="C285" s="61"/>
      <c r="D285" s="61"/>
      <c r="E285" s="54"/>
      <c r="F285" s="61"/>
      <c r="G285" s="61"/>
      <c r="H285" s="61"/>
      <c r="I285" s="61"/>
      <c r="J285" s="61"/>
      <c r="K285" s="61"/>
    </row>
    <row r="286" spans="1:11" ht="19.95" customHeight="1" x14ac:dyDescent="0.35"/>
    <row r="287" spans="1:11" ht="19.95" customHeight="1" x14ac:dyDescent="0.35">
      <c r="A287" s="1" t="s">
        <v>388</v>
      </c>
      <c r="B287" s="1"/>
      <c r="C287" s="1"/>
      <c r="D287" s="1"/>
      <c r="E287" s="1"/>
      <c r="F287" s="1"/>
      <c r="G287" s="1"/>
      <c r="H287" s="1"/>
      <c r="I287" s="1"/>
      <c r="J287" s="1"/>
      <c r="K287" s="2"/>
    </row>
    <row r="288" spans="1:11" ht="19.95" customHeight="1" x14ac:dyDescent="0.35">
      <c r="B288" s="36"/>
      <c r="C288" s="37"/>
      <c r="D288" s="38"/>
      <c r="E288" s="39"/>
      <c r="F288" s="40"/>
      <c r="G288" s="37"/>
      <c r="H288" s="37"/>
      <c r="I288" s="37"/>
      <c r="J288" s="41"/>
      <c r="K288" s="38"/>
    </row>
    <row r="289" spans="1:11" ht="19.95" customHeight="1" x14ac:dyDescent="0.35">
      <c r="A289" s="9" t="s">
        <v>1</v>
      </c>
      <c r="B289" s="42" t="s">
        <v>2</v>
      </c>
      <c r="C289" s="42" t="s">
        <v>3</v>
      </c>
      <c r="D289" s="9" t="s">
        <v>4</v>
      </c>
      <c r="E289" s="139" t="s">
        <v>5</v>
      </c>
      <c r="F289" s="140" t="s">
        <v>6</v>
      </c>
      <c r="G289" s="140" t="s">
        <v>7</v>
      </c>
      <c r="H289" s="140" t="s">
        <v>8</v>
      </c>
      <c r="I289" s="140" t="s">
        <v>9</v>
      </c>
      <c r="J289" s="140" t="s">
        <v>10</v>
      </c>
      <c r="K289" s="140" t="s">
        <v>11</v>
      </c>
    </row>
    <row r="290" spans="1:11" ht="19.95" customHeight="1" x14ac:dyDescent="0.35">
      <c r="A290" s="14"/>
      <c r="B290" s="42"/>
      <c r="C290" s="44"/>
      <c r="D290" s="14"/>
      <c r="E290" s="17"/>
      <c r="F290" s="18"/>
      <c r="G290" s="20"/>
      <c r="H290" s="20"/>
      <c r="I290" s="20"/>
      <c r="J290" s="141"/>
      <c r="K290" s="138"/>
    </row>
    <row r="291" spans="1:11" ht="31.2" x14ac:dyDescent="0.35">
      <c r="A291" s="30" t="s">
        <v>389</v>
      </c>
      <c r="B291" s="24" t="s">
        <v>20</v>
      </c>
      <c r="C291" s="24" t="s">
        <v>72</v>
      </c>
      <c r="D291" s="23" t="s">
        <v>390</v>
      </c>
      <c r="E291" s="29">
        <v>12000</v>
      </c>
      <c r="F291" s="23" t="s">
        <v>14</v>
      </c>
      <c r="G291" s="27" t="s">
        <v>39</v>
      </c>
      <c r="H291" s="24" t="s">
        <v>391</v>
      </c>
      <c r="I291" s="27" t="s">
        <v>309</v>
      </c>
      <c r="J291" s="24" t="s">
        <v>14</v>
      </c>
      <c r="K291" s="24" t="s">
        <v>14</v>
      </c>
    </row>
    <row r="292" spans="1:11" ht="31.2" x14ac:dyDescent="0.35">
      <c r="A292" s="30" t="s">
        <v>389</v>
      </c>
      <c r="B292" s="24" t="s">
        <v>13</v>
      </c>
      <c r="C292" s="24" t="s">
        <v>72</v>
      </c>
      <c r="D292" s="23" t="s">
        <v>392</v>
      </c>
      <c r="E292" s="29">
        <v>12000</v>
      </c>
      <c r="F292" s="23" t="s">
        <v>14</v>
      </c>
      <c r="G292" s="27" t="s">
        <v>39</v>
      </c>
      <c r="H292" s="26" t="s">
        <v>393</v>
      </c>
      <c r="I292" s="27" t="s">
        <v>46</v>
      </c>
      <c r="J292" s="24" t="s">
        <v>14</v>
      </c>
      <c r="K292" s="24" t="s">
        <v>14</v>
      </c>
    </row>
    <row r="293" spans="1:11" ht="62.4" x14ac:dyDescent="0.35">
      <c r="A293" s="30" t="s">
        <v>234</v>
      </c>
      <c r="B293" s="24" t="s">
        <v>13</v>
      </c>
      <c r="C293" s="24" t="s">
        <v>14</v>
      </c>
      <c r="D293" s="23" t="s">
        <v>394</v>
      </c>
      <c r="E293" s="29">
        <v>107438.02</v>
      </c>
      <c r="F293" s="23" t="s">
        <v>72</v>
      </c>
      <c r="G293" s="27" t="s">
        <v>39</v>
      </c>
      <c r="H293" s="24" t="s">
        <v>395</v>
      </c>
      <c r="I293" s="24" t="s">
        <v>46</v>
      </c>
      <c r="J293" s="24" t="s">
        <v>14</v>
      </c>
      <c r="K293" s="24" t="s">
        <v>14</v>
      </c>
    </row>
    <row r="294" spans="1:11" ht="62.4" x14ac:dyDescent="0.35">
      <c r="A294" s="30" t="s">
        <v>234</v>
      </c>
      <c r="B294" s="24" t="s">
        <v>13</v>
      </c>
      <c r="C294" s="24" t="s">
        <v>14</v>
      </c>
      <c r="D294" s="24" t="s">
        <v>396</v>
      </c>
      <c r="E294" s="29">
        <v>33057.85</v>
      </c>
      <c r="F294" s="23" t="s">
        <v>14</v>
      </c>
      <c r="G294" s="27" t="s">
        <v>39</v>
      </c>
      <c r="H294" s="24" t="s">
        <v>397</v>
      </c>
      <c r="I294" s="24" t="s">
        <v>309</v>
      </c>
      <c r="J294" s="24" t="s">
        <v>14</v>
      </c>
      <c r="K294" s="24" t="s">
        <v>14</v>
      </c>
    </row>
    <row r="295" spans="1:11" ht="31.2" x14ac:dyDescent="0.35">
      <c r="A295" s="30" t="s">
        <v>389</v>
      </c>
      <c r="B295" s="24" t="s">
        <v>20</v>
      </c>
      <c r="C295" s="24" t="s">
        <v>72</v>
      </c>
      <c r="D295" s="142" t="s">
        <v>398</v>
      </c>
      <c r="E295" s="29">
        <v>41322.21</v>
      </c>
      <c r="F295" s="23" t="s">
        <v>14</v>
      </c>
      <c r="G295" s="27" t="s">
        <v>39</v>
      </c>
      <c r="H295" s="24" t="s">
        <v>399</v>
      </c>
      <c r="I295" s="24" t="s">
        <v>309</v>
      </c>
      <c r="J295" s="24" t="s">
        <v>14</v>
      </c>
      <c r="K295" s="24" t="s">
        <v>14</v>
      </c>
    </row>
    <row r="296" spans="1:11" ht="31.2" x14ac:dyDescent="0.35">
      <c r="A296" s="30" t="s">
        <v>389</v>
      </c>
      <c r="B296" s="24" t="s">
        <v>13</v>
      </c>
      <c r="C296" s="24" t="s">
        <v>72</v>
      </c>
      <c r="D296" s="24" t="s">
        <v>400</v>
      </c>
      <c r="E296" s="29">
        <v>12000</v>
      </c>
      <c r="F296" s="23" t="s">
        <v>72</v>
      </c>
      <c r="G296" s="27" t="s">
        <v>39</v>
      </c>
      <c r="H296" s="24" t="s">
        <v>401</v>
      </c>
      <c r="I296" s="24" t="s">
        <v>46</v>
      </c>
      <c r="J296" s="24" t="s">
        <v>14</v>
      </c>
      <c r="K296" s="24" t="s">
        <v>14</v>
      </c>
    </row>
    <row r="297" spans="1:11" ht="19.95" customHeight="1" x14ac:dyDescent="0.35">
      <c r="B297" s="35"/>
      <c r="C297" s="35"/>
      <c r="D297" s="61"/>
      <c r="E297" s="54"/>
      <c r="F297" s="61"/>
      <c r="G297" s="35"/>
      <c r="H297" s="35"/>
      <c r="I297" s="35"/>
      <c r="J297" s="35"/>
      <c r="K297" s="61"/>
    </row>
    <row r="298" spans="1:11" ht="19.95" customHeight="1" x14ac:dyDescent="0.35"/>
    <row r="299" spans="1:11" ht="19.95" customHeight="1" x14ac:dyDescent="0.35">
      <c r="A299" s="1" t="s">
        <v>402</v>
      </c>
      <c r="B299" s="1"/>
      <c r="C299" s="1"/>
      <c r="D299" s="1"/>
      <c r="E299" s="1"/>
      <c r="F299" s="1"/>
      <c r="G299" s="1"/>
      <c r="H299" s="1"/>
      <c r="I299" s="1"/>
      <c r="J299" s="1"/>
      <c r="K299" s="2"/>
    </row>
    <row r="300" spans="1:11" ht="19.95" customHeight="1" x14ac:dyDescent="0.35">
      <c r="B300" s="143"/>
      <c r="C300" s="144"/>
      <c r="D300" s="37"/>
      <c r="E300" s="39"/>
      <c r="F300" s="144"/>
      <c r="G300" s="144"/>
      <c r="H300" s="41"/>
      <c r="I300" s="144"/>
      <c r="J300" s="144"/>
      <c r="K300" s="145"/>
    </row>
    <row r="301" spans="1:11" ht="19.95" customHeight="1" x14ac:dyDescent="0.35">
      <c r="A301" s="9" t="s">
        <v>1</v>
      </c>
      <c r="B301" s="11" t="s">
        <v>2</v>
      </c>
      <c r="C301" s="11" t="s">
        <v>3</v>
      </c>
      <c r="D301" s="9" t="s">
        <v>4</v>
      </c>
      <c r="E301" s="12" t="s">
        <v>5</v>
      </c>
      <c r="F301" s="11" t="s">
        <v>6</v>
      </c>
      <c r="G301" s="11" t="s">
        <v>7</v>
      </c>
      <c r="H301" s="11" t="s">
        <v>8</v>
      </c>
      <c r="I301" s="11" t="s">
        <v>9</v>
      </c>
      <c r="J301" s="11" t="s">
        <v>10</v>
      </c>
      <c r="K301" s="11" t="s">
        <v>11</v>
      </c>
    </row>
    <row r="302" spans="1:11" ht="19.95" customHeight="1" x14ac:dyDescent="0.35">
      <c r="A302" s="14"/>
      <c r="B302" s="140"/>
      <c r="C302" s="20"/>
      <c r="D302" s="14"/>
      <c r="E302" s="17"/>
      <c r="F302" s="18"/>
      <c r="G302" s="20"/>
      <c r="H302" s="20"/>
      <c r="I302" s="20"/>
      <c r="J302" s="141"/>
      <c r="K302" s="146"/>
    </row>
    <row r="303" spans="1:11" ht="78" x14ac:dyDescent="0.35">
      <c r="A303" s="49" t="s">
        <v>31</v>
      </c>
      <c r="B303" s="147" t="s">
        <v>20</v>
      </c>
      <c r="C303" s="147" t="s">
        <v>14</v>
      </c>
      <c r="D303" s="148" t="s">
        <v>403</v>
      </c>
      <c r="E303" s="25">
        <v>250000</v>
      </c>
      <c r="F303" s="149" t="s">
        <v>14</v>
      </c>
      <c r="G303" s="150" t="s">
        <v>39</v>
      </c>
      <c r="H303" s="149" t="s">
        <v>404</v>
      </c>
      <c r="I303" s="147" t="s">
        <v>187</v>
      </c>
      <c r="J303" s="147" t="s">
        <v>72</v>
      </c>
      <c r="K303" s="147" t="s">
        <v>14</v>
      </c>
    </row>
    <row r="304" spans="1:11" ht="62.4" x14ac:dyDescent="0.35">
      <c r="A304" s="30" t="s">
        <v>31</v>
      </c>
      <c r="B304" s="147" t="s">
        <v>50</v>
      </c>
      <c r="C304" s="151" t="s">
        <v>14</v>
      </c>
      <c r="D304" s="152" t="s">
        <v>405</v>
      </c>
      <c r="E304" s="153">
        <f>312800.82/1.21</f>
        <v>258513.07438016532</v>
      </c>
      <c r="F304" s="149" t="s">
        <v>14</v>
      </c>
      <c r="G304" s="150" t="s">
        <v>39</v>
      </c>
      <c r="H304" s="149" t="s">
        <v>406</v>
      </c>
      <c r="I304" s="147" t="s">
        <v>91</v>
      </c>
      <c r="J304" s="147" t="s">
        <v>14</v>
      </c>
      <c r="K304" s="147" t="s">
        <v>14</v>
      </c>
    </row>
    <row r="305" spans="1:11" ht="62.4" x14ac:dyDescent="0.35">
      <c r="A305" s="30" t="s">
        <v>31</v>
      </c>
      <c r="B305" s="147" t="s">
        <v>13</v>
      </c>
      <c r="C305" s="151" t="s">
        <v>14</v>
      </c>
      <c r="D305" s="152" t="s">
        <v>407</v>
      </c>
      <c r="E305" s="153">
        <f>180000/1.21</f>
        <v>148760.3305785124</v>
      </c>
      <c r="F305" s="149" t="s">
        <v>14</v>
      </c>
      <c r="G305" s="150" t="s">
        <v>39</v>
      </c>
      <c r="H305" s="149" t="s">
        <v>408</v>
      </c>
      <c r="I305" s="147" t="s">
        <v>46</v>
      </c>
      <c r="J305" s="147" t="s">
        <v>14</v>
      </c>
      <c r="K305" s="147" t="s">
        <v>14</v>
      </c>
    </row>
    <row r="306" spans="1:11" ht="109.2" x14ac:dyDescent="0.35">
      <c r="A306" s="30" t="s">
        <v>409</v>
      </c>
      <c r="B306" s="147" t="s">
        <v>20</v>
      </c>
      <c r="C306" s="151" t="s">
        <v>19</v>
      </c>
      <c r="D306" s="147" t="s">
        <v>410</v>
      </c>
      <c r="E306" s="153">
        <v>20000</v>
      </c>
      <c r="F306" s="149" t="s">
        <v>14</v>
      </c>
      <c r="G306" s="150" t="s">
        <v>39</v>
      </c>
      <c r="H306" s="149">
        <v>79713000</v>
      </c>
      <c r="I306" s="147" t="s">
        <v>18</v>
      </c>
      <c r="J306" s="147" t="s">
        <v>19</v>
      </c>
      <c r="K306" s="147" t="s">
        <v>14</v>
      </c>
    </row>
    <row r="307" spans="1:11" ht="124.8" x14ac:dyDescent="0.35">
      <c r="A307" s="30" t="s">
        <v>31</v>
      </c>
      <c r="B307" s="147" t="s">
        <v>20</v>
      </c>
      <c r="C307" s="151" t="s">
        <v>14</v>
      </c>
      <c r="D307" s="147" t="s">
        <v>411</v>
      </c>
      <c r="E307" s="153">
        <v>80000</v>
      </c>
      <c r="F307" s="149" t="s">
        <v>14</v>
      </c>
      <c r="G307" s="150" t="s">
        <v>39</v>
      </c>
      <c r="H307" s="149" t="s">
        <v>412</v>
      </c>
      <c r="I307" s="147" t="s">
        <v>18</v>
      </c>
      <c r="J307" s="147" t="s">
        <v>19</v>
      </c>
      <c r="K307" s="147" t="s">
        <v>14</v>
      </c>
    </row>
    <row r="308" spans="1:11" ht="62.4" x14ac:dyDescent="0.35">
      <c r="A308" s="30" t="s">
        <v>31</v>
      </c>
      <c r="B308" s="147" t="s">
        <v>50</v>
      </c>
      <c r="C308" s="151" t="s">
        <v>14</v>
      </c>
      <c r="D308" s="152" t="s">
        <v>413</v>
      </c>
      <c r="E308" s="153">
        <v>972000</v>
      </c>
      <c r="F308" s="149" t="s">
        <v>14</v>
      </c>
      <c r="G308" s="150" t="s">
        <v>60</v>
      </c>
      <c r="H308" s="149" t="s">
        <v>406</v>
      </c>
      <c r="I308" s="147" t="s">
        <v>24</v>
      </c>
      <c r="J308" s="147" t="s">
        <v>14</v>
      </c>
      <c r="K308" s="147" t="s">
        <v>14</v>
      </c>
    </row>
    <row r="309" spans="1:11" ht="62.4" x14ac:dyDescent="0.35">
      <c r="A309" s="30" t="s">
        <v>31</v>
      </c>
      <c r="B309" s="147" t="s">
        <v>20</v>
      </c>
      <c r="C309" s="151" t="s">
        <v>14</v>
      </c>
      <c r="D309" s="152" t="s">
        <v>414</v>
      </c>
      <c r="E309" s="25">
        <f>+E306*0.08</f>
        <v>1600</v>
      </c>
      <c r="F309" s="149" t="s">
        <v>14</v>
      </c>
      <c r="G309" s="150" t="s">
        <v>60</v>
      </c>
      <c r="H309" s="147" t="s">
        <v>415</v>
      </c>
      <c r="I309" s="147" t="s">
        <v>24</v>
      </c>
      <c r="J309" s="147" t="s">
        <v>14</v>
      </c>
      <c r="K309" s="147" t="s">
        <v>14</v>
      </c>
    </row>
    <row r="310" spans="1:11" ht="19.95" customHeight="1" x14ac:dyDescent="0.35"/>
    <row r="311" spans="1:11" ht="19.95" customHeight="1" x14ac:dyDescent="0.35"/>
    <row r="312" spans="1:11" ht="19.95" customHeight="1" x14ac:dyDescent="0.35">
      <c r="A312" s="1" t="s">
        <v>416</v>
      </c>
      <c r="B312" s="1"/>
      <c r="C312" s="1"/>
      <c r="D312" s="1"/>
      <c r="E312" s="1"/>
      <c r="F312" s="1"/>
      <c r="G312" s="1"/>
      <c r="H312" s="1"/>
      <c r="I312" s="1"/>
      <c r="J312" s="1"/>
      <c r="K312" s="2"/>
    </row>
    <row r="313" spans="1:11" ht="19.95" customHeight="1" x14ac:dyDescent="0.35">
      <c r="B313" s="143"/>
      <c r="C313" s="144"/>
      <c r="D313" s="37"/>
      <c r="E313" s="39"/>
      <c r="F313" s="144"/>
      <c r="G313" s="144"/>
      <c r="H313" s="41"/>
      <c r="I313" s="144"/>
      <c r="J313" s="144"/>
      <c r="K313" s="144"/>
    </row>
    <row r="314" spans="1:11" ht="19.95" customHeight="1" x14ac:dyDescent="0.35">
      <c r="A314" s="9" t="s">
        <v>1</v>
      </c>
      <c r="B314" s="42" t="s">
        <v>2</v>
      </c>
      <c r="C314" s="42" t="s">
        <v>3</v>
      </c>
      <c r="D314" s="9" t="s">
        <v>4</v>
      </c>
      <c r="E314" s="43" t="s">
        <v>5</v>
      </c>
      <c r="F314" s="42" t="s">
        <v>6</v>
      </c>
      <c r="G314" s="42" t="s">
        <v>7</v>
      </c>
      <c r="H314" s="42" t="s">
        <v>8</v>
      </c>
      <c r="I314" s="42" t="s">
        <v>9</v>
      </c>
      <c r="J314" s="42" t="s">
        <v>10</v>
      </c>
      <c r="K314" s="42" t="s">
        <v>11</v>
      </c>
    </row>
    <row r="315" spans="1:11" ht="19.95" customHeight="1" x14ac:dyDescent="0.35">
      <c r="A315" s="14"/>
      <c r="B315" s="42"/>
      <c r="C315" s="44"/>
      <c r="D315" s="14"/>
      <c r="E315" s="45"/>
      <c r="F315" s="46"/>
      <c r="G315" s="44"/>
      <c r="H315" s="44"/>
      <c r="I315" s="44"/>
      <c r="J315" s="47"/>
      <c r="K315" s="48"/>
    </row>
    <row r="316" spans="1:11" ht="62.4" x14ac:dyDescent="0.35">
      <c r="A316" s="30" t="s">
        <v>78</v>
      </c>
      <c r="B316" s="24" t="s">
        <v>20</v>
      </c>
      <c r="C316" s="24" t="s">
        <v>14</v>
      </c>
      <c r="D316" s="23" t="s">
        <v>417</v>
      </c>
      <c r="E316" s="154">
        <v>325000</v>
      </c>
      <c r="F316" s="23" t="s">
        <v>14</v>
      </c>
      <c r="G316" s="26" t="s">
        <v>39</v>
      </c>
      <c r="H316" s="26" t="s">
        <v>418</v>
      </c>
      <c r="I316" s="27" t="s">
        <v>187</v>
      </c>
      <c r="J316" s="24" t="s">
        <v>19</v>
      </c>
      <c r="K316" s="24" t="s">
        <v>14</v>
      </c>
    </row>
    <row r="317" spans="1:11" ht="62.4" x14ac:dyDescent="0.35">
      <c r="A317" s="30" t="s">
        <v>78</v>
      </c>
      <c r="B317" s="24" t="s">
        <v>20</v>
      </c>
      <c r="C317" s="24" t="s">
        <v>14</v>
      </c>
      <c r="D317" s="23" t="s">
        <v>419</v>
      </c>
      <c r="E317" s="154">
        <v>430238.69</v>
      </c>
      <c r="F317" s="23" t="s">
        <v>14</v>
      </c>
      <c r="G317" s="26" t="s">
        <v>39</v>
      </c>
      <c r="H317" s="26" t="s">
        <v>420</v>
      </c>
      <c r="I317" s="27" t="s">
        <v>187</v>
      </c>
      <c r="J317" s="24" t="s">
        <v>19</v>
      </c>
      <c r="K317" s="24" t="s">
        <v>14</v>
      </c>
    </row>
    <row r="318" spans="1:11" ht="19.95" customHeight="1" x14ac:dyDescent="0.35"/>
    <row r="319" spans="1:11" ht="19.95" customHeight="1" x14ac:dyDescent="0.35"/>
    <row r="320" spans="1:11" ht="19.95" customHeight="1" x14ac:dyDescent="0.35"/>
    <row r="321" spans="1:11" ht="19.95" customHeight="1" x14ac:dyDescent="0.35"/>
    <row r="322" spans="1:11" ht="19.95" customHeight="1" x14ac:dyDescent="0.35"/>
    <row r="323" spans="1:11" ht="19.95" customHeight="1" x14ac:dyDescent="0.35">
      <c r="A323" s="1" t="s">
        <v>421</v>
      </c>
      <c r="B323" s="1"/>
      <c r="C323" s="1"/>
      <c r="D323" s="1"/>
      <c r="E323" s="1"/>
      <c r="F323" s="1"/>
      <c r="G323" s="1"/>
      <c r="H323" s="1"/>
      <c r="I323" s="1"/>
      <c r="J323" s="1"/>
      <c r="K323" s="2"/>
    </row>
    <row r="324" spans="1:11" ht="19.95" customHeight="1" x14ac:dyDescent="0.35">
      <c r="B324" s="143"/>
      <c r="C324" s="144"/>
      <c r="D324" s="37"/>
      <c r="E324" s="39"/>
      <c r="F324" s="144"/>
      <c r="G324" s="144"/>
      <c r="H324" s="41"/>
      <c r="I324" s="144"/>
      <c r="J324" s="144"/>
      <c r="K324" s="144"/>
    </row>
    <row r="325" spans="1:11" ht="19.95" customHeight="1" x14ac:dyDescent="0.35">
      <c r="A325" s="9" t="s">
        <v>1</v>
      </c>
      <c r="B325" s="42" t="s">
        <v>2</v>
      </c>
      <c r="C325" s="42" t="s">
        <v>3</v>
      </c>
      <c r="D325" s="9" t="s">
        <v>4</v>
      </c>
      <c r="E325" s="43" t="s">
        <v>5</v>
      </c>
      <c r="F325" s="42" t="s">
        <v>6</v>
      </c>
      <c r="G325" s="42" t="s">
        <v>7</v>
      </c>
      <c r="H325" s="42" t="s">
        <v>8</v>
      </c>
      <c r="I325" s="42" t="s">
        <v>9</v>
      </c>
      <c r="J325" s="42" t="s">
        <v>10</v>
      </c>
      <c r="K325" s="42" t="s">
        <v>11</v>
      </c>
    </row>
    <row r="326" spans="1:11" ht="19.95" customHeight="1" x14ac:dyDescent="0.35">
      <c r="A326" s="14"/>
      <c r="B326" s="42"/>
      <c r="C326" s="44"/>
      <c r="D326" s="14"/>
      <c r="E326" s="45"/>
      <c r="F326" s="46"/>
      <c r="G326" s="44"/>
      <c r="H326" s="44"/>
      <c r="I326" s="44"/>
      <c r="J326" s="47"/>
      <c r="K326" s="48"/>
    </row>
    <row r="327" spans="1:11" ht="140.4" x14ac:dyDescent="0.35">
      <c r="A327" s="23" t="s">
        <v>422</v>
      </c>
      <c r="B327" s="24" t="s">
        <v>20</v>
      </c>
      <c r="C327" s="59" t="s">
        <v>72</v>
      </c>
      <c r="D327" s="30" t="s">
        <v>423</v>
      </c>
      <c r="E327" s="155">
        <v>14501.85</v>
      </c>
      <c r="F327" s="23" t="s">
        <v>14</v>
      </c>
      <c r="G327" s="85" t="s">
        <v>44</v>
      </c>
      <c r="H327" s="26" t="s">
        <v>424</v>
      </c>
      <c r="I327" s="59" t="s">
        <v>24</v>
      </c>
      <c r="J327" s="24" t="s">
        <v>14</v>
      </c>
      <c r="K327" s="24" t="s">
        <v>14</v>
      </c>
    </row>
    <row r="328" spans="1:11" ht="93.6" x14ac:dyDescent="0.35">
      <c r="A328" s="23" t="s">
        <v>31</v>
      </c>
      <c r="B328" s="24" t="s">
        <v>20</v>
      </c>
      <c r="C328" s="24" t="s">
        <v>14</v>
      </c>
      <c r="D328" s="23" t="s">
        <v>425</v>
      </c>
      <c r="E328" s="154">
        <f>322674.26/1.21</f>
        <v>266672.94214876037</v>
      </c>
      <c r="F328" s="23" t="s">
        <v>72</v>
      </c>
      <c r="G328" s="27" t="s">
        <v>44</v>
      </c>
      <c r="H328" s="26" t="s">
        <v>426</v>
      </c>
      <c r="I328" s="27" t="s">
        <v>120</v>
      </c>
      <c r="J328" s="24" t="s">
        <v>92</v>
      </c>
      <c r="K328" s="24" t="s">
        <v>92</v>
      </c>
    </row>
    <row r="329" spans="1:11" ht="140.4" x14ac:dyDescent="0.35">
      <c r="A329" s="23" t="s">
        <v>422</v>
      </c>
      <c r="B329" s="24" t="s">
        <v>20</v>
      </c>
      <c r="C329" s="24" t="s">
        <v>72</v>
      </c>
      <c r="D329" s="23" t="s">
        <v>427</v>
      </c>
      <c r="E329" s="154">
        <v>25206.6</v>
      </c>
      <c r="F329" s="23" t="s">
        <v>14</v>
      </c>
      <c r="G329" s="85" t="s">
        <v>44</v>
      </c>
      <c r="H329" s="26" t="s">
        <v>428</v>
      </c>
      <c r="I329" s="27" t="s">
        <v>24</v>
      </c>
      <c r="J329" s="24" t="s">
        <v>72</v>
      </c>
      <c r="K329" s="24" t="s">
        <v>14</v>
      </c>
    </row>
    <row r="330" spans="1:11" ht="62.4" x14ac:dyDescent="0.35">
      <c r="A330" s="23" t="s">
        <v>31</v>
      </c>
      <c r="B330" s="24" t="s">
        <v>20</v>
      </c>
      <c r="C330" s="24" t="s">
        <v>14</v>
      </c>
      <c r="D330" s="23" t="s">
        <v>429</v>
      </c>
      <c r="E330" s="154">
        <v>123966.93</v>
      </c>
      <c r="F330" s="23" t="s">
        <v>14</v>
      </c>
      <c r="G330" s="27" t="s">
        <v>44</v>
      </c>
      <c r="H330" s="26" t="s">
        <v>430</v>
      </c>
      <c r="I330" s="27" t="s">
        <v>187</v>
      </c>
      <c r="J330" s="24" t="s">
        <v>72</v>
      </c>
      <c r="K330" s="24" t="s">
        <v>14</v>
      </c>
    </row>
    <row r="331" spans="1:11" ht="62.4" x14ac:dyDescent="0.35">
      <c r="A331" s="23" t="s">
        <v>31</v>
      </c>
      <c r="B331" s="23" t="s">
        <v>431</v>
      </c>
      <c r="C331" s="24" t="s">
        <v>14</v>
      </c>
      <c r="D331" s="23" t="s">
        <v>432</v>
      </c>
      <c r="E331" s="154">
        <v>1000000</v>
      </c>
      <c r="F331" s="23" t="s">
        <v>14</v>
      </c>
      <c r="G331" s="85" t="s">
        <v>44</v>
      </c>
      <c r="H331" s="30" t="s">
        <v>433</v>
      </c>
      <c r="I331" s="24" t="s">
        <v>120</v>
      </c>
      <c r="J331" s="24" t="s">
        <v>72</v>
      </c>
      <c r="K331" s="24" t="s">
        <v>14</v>
      </c>
    </row>
    <row r="332" spans="1:11" ht="140.4" x14ac:dyDescent="0.35">
      <c r="A332" s="23" t="s">
        <v>422</v>
      </c>
      <c r="B332" s="24" t="s">
        <v>13</v>
      </c>
      <c r="C332" s="24" t="s">
        <v>72</v>
      </c>
      <c r="D332" s="23" t="s">
        <v>434</v>
      </c>
      <c r="E332" s="154">
        <v>41322.31</v>
      </c>
      <c r="F332" s="23" t="s">
        <v>14</v>
      </c>
      <c r="G332" s="27" t="s">
        <v>44</v>
      </c>
      <c r="H332" s="59" t="s">
        <v>435</v>
      </c>
      <c r="I332" s="59" t="s">
        <v>46</v>
      </c>
      <c r="J332" s="24" t="s">
        <v>14</v>
      </c>
      <c r="K332" s="24" t="s">
        <v>14</v>
      </c>
    </row>
    <row r="333" spans="1:11" ht="62.4" x14ac:dyDescent="0.35">
      <c r="A333" s="23" t="s">
        <v>31</v>
      </c>
      <c r="B333" s="24" t="s">
        <v>13</v>
      </c>
      <c r="C333" s="24" t="s">
        <v>14</v>
      </c>
      <c r="D333" s="23" t="s">
        <v>436</v>
      </c>
      <c r="E333" s="154">
        <v>66115.7</v>
      </c>
      <c r="F333" s="23" t="s">
        <v>258</v>
      </c>
      <c r="G333" s="85" t="s">
        <v>44</v>
      </c>
      <c r="H333" s="23" t="s">
        <v>437</v>
      </c>
      <c r="I333" s="24" t="s">
        <v>46</v>
      </c>
      <c r="J333" s="24" t="s">
        <v>14</v>
      </c>
      <c r="K333" s="24" t="s">
        <v>14</v>
      </c>
    </row>
    <row r="334" spans="1:11" ht="62.4" x14ac:dyDescent="0.35">
      <c r="A334" s="23" t="s">
        <v>31</v>
      </c>
      <c r="B334" s="24" t="s">
        <v>13</v>
      </c>
      <c r="C334" s="24" t="s">
        <v>14</v>
      </c>
      <c r="D334" s="23" t="s">
        <v>438</v>
      </c>
      <c r="E334" s="154">
        <v>247900</v>
      </c>
      <c r="F334" s="23" t="s">
        <v>14</v>
      </c>
      <c r="G334" s="27" t="s">
        <v>44</v>
      </c>
      <c r="H334" s="23" t="s">
        <v>439</v>
      </c>
      <c r="I334" s="24" t="s">
        <v>91</v>
      </c>
      <c r="J334" s="24" t="s">
        <v>14</v>
      </c>
      <c r="K334" s="24" t="s">
        <v>14</v>
      </c>
    </row>
    <row r="335" spans="1:11" ht="62.4" x14ac:dyDescent="0.35">
      <c r="A335" s="23" t="s">
        <v>31</v>
      </c>
      <c r="B335" s="24" t="s">
        <v>13</v>
      </c>
      <c r="C335" s="24" t="s">
        <v>14</v>
      </c>
      <c r="D335" s="23" t="s">
        <v>440</v>
      </c>
      <c r="E335" s="154">
        <v>90909.09</v>
      </c>
      <c r="F335" s="23" t="s">
        <v>14</v>
      </c>
      <c r="G335" s="85" t="s">
        <v>44</v>
      </c>
      <c r="H335" s="30" t="s">
        <v>441</v>
      </c>
      <c r="I335" s="59" t="s">
        <v>46</v>
      </c>
      <c r="J335" s="24" t="s">
        <v>14</v>
      </c>
      <c r="K335" s="24" t="s">
        <v>14</v>
      </c>
    </row>
    <row r="336" spans="1:11" ht="140.4" x14ac:dyDescent="0.35">
      <c r="A336" s="23" t="s">
        <v>422</v>
      </c>
      <c r="B336" s="24" t="s">
        <v>20</v>
      </c>
      <c r="C336" s="24" t="s">
        <v>72</v>
      </c>
      <c r="D336" s="23" t="s">
        <v>442</v>
      </c>
      <c r="E336" s="154">
        <v>59500</v>
      </c>
      <c r="F336" s="23" t="s">
        <v>14</v>
      </c>
      <c r="G336" s="27" t="s">
        <v>44</v>
      </c>
      <c r="H336" s="26" t="s">
        <v>424</v>
      </c>
      <c r="I336" s="59" t="s">
        <v>24</v>
      </c>
      <c r="J336" s="24" t="s">
        <v>72</v>
      </c>
      <c r="K336" s="24" t="s">
        <v>14</v>
      </c>
    </row>
    <row r="337" spans="1:11" ht="140.4" x14ac:dyDescent="0.35">
      <c r="A337" s="23" t="s">
        <v>422</v>
      </c>
      <c r="B337" s="24" t="s">
        <v>20</v>
      </c>
      <c r="C337" s="24" t="s">
        <v>72</v>
      </c>
      <c r="D337" s="23" t="s">
        <v>443</v>
      </c>
      <c r="E337" s="154">
        <v>59500</v>
      </c>
      <c r="F337" s="23" t="s">
        <v>14</v>
      </c>
      <c r="G337" s="27" t="s">
        <v>44</v>
      </c>
      <c r="H337" s="26" t="s">
        <v>430</v>
      </c>
      <c r="I337" s="59" t="s">
        <v>24</v>
      </c>
      <c r="J337" s="24" t="s">
        <v>72</v>
      </c>
      <c r="K337" s="24" t="s">
        <v>14</v>
      </c>
    </row>
    <row r="338" spans="1:11" ht="62.4" x14ac:dyDescent="0.35">
      <c r="A338" s="23" t="s">
        <v>31</v>
      </c>
      <c r="B338" s="24" t="s">
        <v>13</v>
      </c>
      <c r="C338" s="24" t="s">
        <v>14</v>
      </c>
      <c r="D338" s="23" t="s">
        <v>444</v>
      </c>
      <c r="E338" s="154">
        <v>285123.96999999997</v>
      </c>
      <c r="F338" s="23" t="s">
        <v>72</v>
      </c>
      <c r="G338" s="85" t="s">
        <v>44</v>
      </c>
      <c r="H338" s="26" t="s">
        <v>445</v>
      </c>
      <c r="I338" s="59" t="s">
        <v>49</v>
      </c>
      <c r="J338" s="24" t="s">
        <v>92</v>
      </c>
      <c r="K338" s="24" t="s">
        <v>92</v>
      </c>
    </row>
    <row r="339" spans="1:11" ht="140.4" x14ac:dyDescent="0.35">
      <c r="A339" s="23" t="s">
        <v>422</v>
      </c>
      <c r="B339" s="24" t="s">
        <v>20</v>
      </c>
      <c r="C339" s="24" t="s">
        <v>72</v>
      </c>
      <c r="D339" s="23" t="s">
        <v>446</v>
      </c>
      <c r="E339" s="154">
        <v>35775</v>
      </c>
      <c r="F339" s="23" t="s">
        <v>14</v>
      </c>
      <c r="G339" s="27" t="s">
        <v>44</v>
      </c>
      <c r="H339" s="26" t="s">
        <v>447</v>
      </c>
      <c r="I339" s="59" t="s">
        <v>24</v>
      </c>
      <c r="J339" s="24" t="s">
        <v>72</v>
      </c>
      <c r="K339" s="24" t="s">
        <v>92</v>
      </c>
    </row>
    <row r="340" spans="1:11" ht="140.4" x14ac:dyDescent="0.35">
      <c r="A340" s="23" t="s">
        <v>422</v>
      </c>
      <c r="B340" s="24" t="s">
        <v>13</v>
      </c>
      <c r="C340" s="24" t="s">
        <v>72</v>
      </c>
      <c r="D340" s="23" t="s">
        <v>448</v>
      </c>
      <c r="E340" s="154">
        <v>24380.17</v>
      </c>
      <c r="F340" s="23" t="s">
        <v>14</v>
      </c>
      <c r="G340" s="27" t="s">
        <v>44</v>
      </c>
      <c r="H340" s="26" t="s">
        <v>449</v>
      </c>
      <c r="I340" s="59" t="s">
        <v>49</v>
      </c>
      <c r="J340" s="24" t="s">
        <v>14</v>
      </c>
      <c r="K340" s="24" t="s">
        <v>14</v>
      </c>
    </row>
    <row r="341" spans="1:11" ht="62.4" x14ac:dyDescent="0.35">
      <c r="A341" s="23" t="s">
        <v>31</v>
      </c>
      <c r="B341" s="24" t="s">
        <v>20</v>
      </c>
      <c r="C341" s="24" t="s">
        <v>14</v>
      </c>
      <c r="D341" s="23" t="s">
        <v>450</v>
      </c>
      <c r="E341" s="154">
        <v>12332.21</v>
      </c>
      <c r="F341" s="23" t="s">
        <v>14</v>
      </c>
      <c r="G341" s="85" t="s">
        <v>44</v>
      </c>
      <c r="H341" s="26" t="s">
        <v>430</v>
      </c>
      <c r="I341" s="59" t="s">
        <v>24</v>
      </c>
      <c r="J341" s="24" t="s">
        <v>14</v>
      </c>
      <c r="K341" s="24" t="s">
        <v>14</v>
      </c>
    </row>
    <row r="342" spans="1:11" ht="140.4" x14ac:dyDescent="0.35">
      <c r="A342" s="23" t="s">
        <v>422</v>
      </c>
      <c r="B342" s="24" t="s">
        <v>20</v>
      </c>
      <c r="C342" s="59" t="s">
        <v>72</v>
      </c>
      <c r="D342" s="23" t="s">
        <v>451</v>
      </c>
      <c r="E342" s="155">
        <v>28767.33</v>
      </c>
      <c r="F342" s="23" t="s">
        <v>14</v>
      </c>
      <c r="G342" s="27" t="s">
        <v>44</v>
      </c>
      <c r="H342" s="26" t="s">
        <v>430</v>
      </c>
      <c r="I342" s="59" t="s">
        <v>24</v>
      </c>
      <c r="J342" s="24" t="s">
        <v>14</v>
      </c>
      <c r="K342" s="24" t="s">
        <v>14</v>
      </c>
    </row>
    <row r="343" spans="1:11" ht="140.4" x14ac:dyDescent="0.35">
      <c r="A343" s="23" t="s">
        <v>422</v>
      </c>
      <c r="B343" s="24" t="s">
        <v>20</v>
      </c>
      <c r="C343" s="24" t="s">
        <v>72</v>
      </c>
      <c r="D343" s="23" t="s">
        <v>452</v>
      </c>
      <c r="E343" s="154">
        <v>32231.4</v>
      </c>
      <c r="F343" s="23" t="s">
        <v>14</v>
      </c>
      <c r="G343" s="27" t="s">
        <v>44</v>
      </c>
      <c r="H343" s="26" t="s">
        <v>453</v>
      </c>
      <c r="I343" s="59" t="s">
        <v>24</v>
      </c>
      <c r="J343" s="24" t="s">
        <v>72</v>
      </c>
      <c r="K343" s="24" t="s">
        <v>14</v>
      </c>
    </row>
    <row r="344" spans="1:11" ht="140.4" x14ac:dyDescent="0.35">
      <c r="A344" s="23" t="s">
        <v>422</v>
      </c>
      <c r="B344" s="24" t="s">
        <v>20</v>
      </c>
      <c r="C344" s="24" t="s">
        <v>72</v>
      </c>
      <c r="D344" s="23" t="s">
        <v>454</v>
      </c>
      <c r="E344" s="154">
        <v>14134.18</v>
      </c>
      <c r="F344" s="23" t="s">
        <v>14</v>
      </c>
      <c r="G344" s="85" t="s">
        <v>44</v>
      </c>
      <c r="H344" s="26" t="s">
        <v>455</v>
      </c>
      <c r="I344" s="59" t="s">
        <v>24</v>
      </c>
      <c r="J344" s="24" t="s">
        <v>72</v>
      </c>
      <c r="K344" s="24" t="s">
        <v>14</v>
      </c>
    </row>
    <row r="345" spans="1:11" ht="140.4" x14ac:dyDescent="0.35">
      <c r="A345" s="23" t="s">
        <v>422</v>
      </c>
      <c r="B345" s="24" t="s">
        <v>20</v>
      </c>
      <c r="C345" s="59" t="s">
        <v>72</v>
      </c>
      <c r="D345" s="23" t="s">
        <v>456</v>
      </c>
      <c r="E345" s="154">
        <v>7570.62</v>
      </c>
      <c r="F345" s="23" t="s">
        <v>14</v>
      </c>
      <c r="G345" s="27" t="s">
        <v>44</v>
      </c>
      <c r="H345" s="26" t="s">
        <v>457</v>
      </c>
      <c r="I345" s="59" t="s">
        <v>24</v>
      </c>
      <c r="J345" s="24" t="s">
        <v>72</v>
      </c>
      <c r="K345" s="24" t="s">
        <v>14</v>
      </c>
    </row>
    <row r="346" spans="1:11" ht="62.4" x14ac:dyDescent="0.35">
      <c r="A346" s="23" t="s">
        <v>31</v>
      </c>
      <c r="B346" s="24" t="s">
        <v>20</v>
      </c>
      <c r="C346" s="24" t="s">
        <v>14</v>
      </c>
      <c r="D346" s="23" t="s">
        <v>458</v>
      </c>
      <c r="E346" s="154">
        <v>206611.56</v>
      </c>
      <c r="F346" s="23" t="s">
        <v>14</v>
      </c>
      <c r="G346" s="85" t="s">
        <v>44</v>
      </c>
      <c r="H346" s="26" t="s">
        <v>457</v>
      </c>
      <c r="I346" s="59" t="s">
        <v>187</v>
      </c>
      <c r="J346" s="24" t="s">
        <v>72</v>
      </c>
      <c r="K346" s="24" t="s">
        <v>14</v>
      </c>
    </row>
    <row r="347" spans="1:11" ht="62.4" x14ac:dyDescent="0.35">
      <c r="A347" s="23" t="s">
        <v>31</v>
      </c>
      <c r="B347" s="59" t="s">
        <v>20</v>
      </c>
      <c r="C347" s="59" t="s">
        <v>14</v>
      </c>
      <c r="D347" s="30" t="s">
        <v>459</v>
      </c>
      <c r="E347" s="155">
        <v>290292.74</v>
      </c>
      <c r="F347" s="30" t="s">
        <v>14</v>
      </c>
      <c r="G347" s="27" t="s">
        <v>44</v>
      </c>
      <c r="H347" s="156" t="s">
        <v>430</v>
      </c>
      <c r="I347" s="59" t="s">
        <v>24</v>
      </c>
      <c r="J347" s="59" t="s">
        <v>72</v>
      </c>
      <c r="K347" s="59" t="s">
        <v>14</v>
      </c>
    </row>
    <row r="348" spans="1:11" ht="62.4" x14ac:dyDescent="0.35">
      <c r="A348" s="23" t="s">
        <v>31</v>
      </c>
      <c r="B348" s="59" t="s">
        <v>20</v>
      </c>
      <c r="C348" s="59" t="s">
        <v>14</v>
      </c>
      <c r="D348" s="30" t="s">
        <v>460</v>
      </c>
      <c r="E348" s="155">
        <v>116837</v>
      </c>
      <c r="F348" s="30" t="s">
        <v>14</v>
      </c>
      <c r="G348" s="85" t="s">
        <v>44</v>
      </c>
      <c r="H348" s="156" t="s">
        <v>430</v>
      </c>
      <c r="I348" s="59" t="s">
        <v>18</v>
      </c>
      <c r="J348" s="59" t="s">
        <v>14</v>
      </c>
      <c r="K348" s="59" t="s">
        <v>14</v>
      </c>
    </row>
    <row r="349" spans="1:11" ht="62.4" x14ac:dyDescent="0.35">
      <c r="A349" s="23" t="s">
        <v>31</v>
      </c>
      <c r="B349" s="59" t="s">
        <v>13</v>
      </c>
      <c r="C349" s="59" t="s">
        <v>14</v>
      </c>
      <c r="D349" s="30" t="s">
        <v>461</v>
      </c>
      <c r="E349" s="155">
        <v>289316</v>
      </c>
      <c r="F349" s="30" t="s">
        <v>14</v>
      </c>
      <c r="G349" s="27" t="s">
        <v>44</v>
      </c>
      <c r="H349" s="156" t="s">
        <v>462</v>
      </c>
      <c r="I349" s="59" t="s">
        <v>187</v>
      </c>
      <c r="J349" s="59" t="s">
        <v>14</v>
      </c>
      <c r="K349" s="59" t="s">
        <v>14</v>
      </c>
    </row>
    <row r="350" spans="1:11" ht="140.4" x14ac:dyDescent="0.35">
      <c r="A350" s="23" t="s">
        <v>422</v>
      </c>
      <c r="B350" s="59" t="s">
        <v>20</v>
      </c>
      <c r="C350" s="59" t="s">
        <v>72</v>
      </c>
      <c r="D350" s="30" t="s">
        <v>463</v>
      </c>
      <c r="E350" s="155">
        <v>21694.25</v>
      </c>
      <c r="F350" s="30" t="s">
        <v>14</v>
      </c>
      <c r="G350" s="27" t="s">
        <v>44</v>
      </c>
      <c r="H350" s="156" t="s">
        <v>424</v>
      </c>
      <c r="I350" s="59" t="s">
        <v>309</v>
      </c>
      <c r="J350" s="59" t="s">
        <v>14</v>
      </c>
      <c r="K350" s="59" t="s">
        <v>14</v>
      </c>
    </row>
    <row r="351" spans="1:11" ht="62.4" x14ac:dyDescent="0.35">
      <c r="A351" s="30" t="s">
        <v>31</v>
      </c>
      <c r="B351" s="59" t="s">
        <v>20</v>
      </c>
      <c r="C351" s="59" t="s">
        <v>14</v>
      </c>
      <c r="D351" s="30" t="s">
        <v>464</v>
      </c>
      <c r="E351" s="155">
        <v>142500</v>
      </c>
      <c r="F351" s="30" t="s">
        <v>14</v>
      </c>
      <c r="G351" s="85" t="s">
        <v>44</v>
      </c>
      <c r="H351" s="156" t="s">
        <v>465</v>
      </c>
      <c r="I351" s="59" t="s">
        <v>24</v>
      </c>
      <c r="J351" s="59" t="s">
        <v>72</v>
      </c>
      <c r="K351" s="59" t="s">
        <v>14</v>
      </c>
    </row>
    <row r="352" spans="1:11" ht="140.4" x14ac:dyDescent="0.35">
      <c r="A352" s="23" t="s">
        <v>422</v>
      </c>
      <c r="B352" s="59" t="s">
        <v>20</v>
      </c>
      <c r="C352" s="59" t="s">
        <v>72</v>
      </c>
      <c r="D352" s="30" t="s">
        <v>466</v>
      </c>
      <c r="E352" s="155">
        <v>10989.43</v>
      </c>
      <c r="F352" s="30" t="s">
        <v>14</v>
      </c>
      <c r="G352" s="27" t="s">
        <v>44</v>
      </c>
      <c r="H352" s="156" t="s">
        <v>430</v>
      </c>
      <c r="I352" s="59" t="s">
        <v>309</v>
      </c>
      <c r="J352" s="59" t="s">
        <v>14</v>
      </c>
      <c r="K352" s="59" t="s">
        <v>14</v>
      </c>
    </row>
    <row r="353" spans="1:11" ht="140.4" x14ac:dyDescent="0.35">
      <c r="A353" s="23" t="s">
        <v>422</v>
      </c>
      <c r="B353" s="59" t="s">
        <v>20</v>
      </c>
      <c r="C353" s="59" t="s">
        <v>72</v>
      </c>
      <c r="D353" s="30" t="s">
        <v>467</v>
      </c>
      <c r="E353" s="155">
        <v>47000</v>
      </c>
      <c r="F353" s="30" t="s">
        <v>14</v>
      </c>
      <c r="G353" s="27" t="s">
        <v>44</v>
      </c>
      <c r="H353" s="156" t="s">
        <v>468</v>
      </c>
      <c r="I353" s="59" t="s">
        <v>309</v>
      </c>
      <c r="J353" s="59" t="s">
        <v>14</v>
      </c>
      <c r="K353" s="59" t="s">
        <v>14</v>
      </c>
    </row>
    <row r="354" spans="1:11" ht="140.4" x14ac:dyDescent="0.35">
      <c r="A354" s="23" t="s">
        <v>422</v>
      </c>
      <c r="B354" s="23" t="s">
        <v>469</v>
      </c>
      <c r="C354" s="59" t="s">
        <v>72</v>
      </c>
      <c r="D354" s="30" t="s">
        <v>470</v>
      </c>
      <c r="E354" s="155">
        <v>49586.78</v>
      </c>
      <c r="F354" s="30" t="s">
        <v>14</v>
      </c>
      <c r="G354" s="85" t="s">
        <v>44</v>
      </c>
      <c r="H354" s="156" t="s">
        <v>471</v>
      </c>
      <c r="I354" s="59" t="s">
        <v>24</v>
      </c>
      <c r="J354" s="59" t="s">
        <v>14</v>
      </c>
      <c r="K354" s="59" t="s">
        <v>14</v>
      </c>
    </row>
    <row r="355" spans="1:11" ht="140.4" x14ac:dyDescent="0.35">
      <c r="A355" s="23" t="s">
        <v>422</v>
      </c>
      <c r="B355" s="59" t="s">
        <v>13</v>
      </c>
      <c r="C355" s="59" t="s">
        <v>72</v>
      </c>
      <c r="D355" s="30" t="s">
        <v>472</v>
      </c>
      <c r="E355" s="155">
        <v>33057.85</v>
      </c>
      <c r="F355" s="30" t="s">
        <v>14</v>
      </c>
      <c r="G355" s="27" t="s">
        <v>44</v>
      </c>
      <c r="H355" s="156" t="s">
        <v>473</v>
      </c>
      <c r="I355" s="59" t="s">
        <v>46</v>
      </c>
      <c r="J355" s="59" t="s">
        <v>14</v>
      </c>
      <c r="K355" s="59" t="s">
        <v>14</v>
      </c>
    </row>
    <row r="356" spans="1:11" ht="140.4" x14ac:dyDescent="0.35">
      <c r="A356" s="23" t="s">
        <v>422</v>
      </c>
      <c r="B356" s="59" t="s">
        <v>20</v>
      </c>
      <c r="C356" s="59" t="s">
        <v>72</v>
      </c>
      <c r="D356" s="30" t="s">
        <v>474</v>
      </c>
      <c r="E356" s="155">
        <v>39967.07</v>
      </c>
      <c r="F356" s="30" t="s">
        <v>14</v>
      </c>
      <c r="G356" s="85" t="s">
        <v>44</v>
      </c>
      <c r="H356" s="156" t="s">
        <v>475</v>
      </c>
      <c r="I356" s="59" t="s">
        <v>476</v>
      </c>
      <c r="J356" s="59" t="s">
        <v>14</v>
      </c>
      <c r="K356" s="59" t="s">
        <v>14</v>
      </c>
    </row>
    <row r="357" spans="1:11" ht="62.4" x14ac:dyDescent="0.35">
      <c r="A357" s="30" t="s">
        <v>31</v>
      </c>
      <c r="B357" s="59" t="s">
        <v>20</v>
      </c>
      <c r="C357" s="24" t="s">
        <v>14</v>
      </c>
      <c r="D357" s="30" t="s">
        <v>477</v>
      </c>
      <c r="E357" s="155">
        <v>65446.01</v>
      </c>
      <c r="F357" s="30" t="s">
        <v>14</v>
      </c>
      <c r="G357" s="27" t="s">
        <v>44</v>
      </c>
      <c r="H357" s="156" t="s">
        <v>430</v>
      </c>
      <c r="I357" s="59" t="s">
        <v>18</v>
      </c>
      <c r="J357" s="59" t="s">
        <v>14</v>
      </c>
      <c r="K357" s="59" t="s">
        <v>14</v>
      </c>
    </row>
    <row r="358" spans="1:11" ht="62.4" x14ac:dyDescent="0.35">
      <c r="A358" s="23" t="s">
        <v>31</v>
      </c>
      <c r="B358" s="24" t="s">
        <v>20</v>
      </c>
      <c r="C358" s="24" t="s">
        <v>14</v>
      </c>
      <c r="D358" s="23" t="s">
        <v>478</v>
      </c>
      <c r="E358" s="157">
        <v>4840000</v>
      </c>
      <c r="F358" s="30" t="s">
        <v>14</v>
      </c>
      <c r="G358" s="85" t="s">
        <v>44</v>
      </c>
      <c r="H358" s="26" t="s">
        <v>479</v>
      </c>
      <c r="I358" s="24" t="s">
        <v>480</v>
      </c>
      <c r="J358" s="59" t="s">
        <v>72</v>
      </c>
      <c r="K358" s="59" t="s">
        <v>14</v>
      </c>
    </row>
    <row r="359" spans="1:11" ht="62.4" x14ac:dyDescent="0.35">
      <c r="A359" s="23" t="s">
        <v>31</v>
      </c>
      <c r="B359" s="24" t="s">
        <v>20</v>
      </c>
      <c r="C359" s="24" t="s">
        <v>14</v>
      </c>
      <c r="D359" s="23" t="s">
        <v>481</v>
      </c>
      <c r="E359" s="154">
        <v>252892.56</v>
      </c>
      <c r="F359" s="23" t="s">
        <v>14</v>
      </c>
      <c r="G359" s="27" t="s">
        <v>336</v>
      </c>
      <c r="H359" s="26" t="s">
        <v>430</v>
      </c>
      <c r="I359" s="24" t="s">
        <v>187</v>
      </c>
      <c r="J359" s="24" t="s">
        <v>14</v>
      </c>
      <c r="K359" s="24" t="s">
        <v>14</v>
      </c>
    </row>
    <row r="360" spans="1:11" ht="62.4" x14ac:dyDescent="0.35">
      <c r="A360" s="23" t="s">
        <v>31</v>
      </c>
      <c r="B360" s="24" t="s">
        <v>13</v>
      </c>
      <c r="C360" s="24" t="s">
        <v>14</v>
      </c>
      <c r="D360" s="23" t="s">
        <v>482</v>
      </c>
      <c r="E360" s="157">
        <v>191735.54</v>
      </c>
      <c r="F360" s="23" t="s">
        <v>14</v>
      </c>
      <c r="G360" s="85" t="s">
        <v>336</v>
      </c>
      <c r="H360" s="26" t="s">
        <v>483</v>
      </c>
      <c r="I360" s="24" t="s">
        <v>18</v>
      </c>
      <c r="J360" s="59" t="s">
        <v>14</v>
      </c>
      <c r="K360" s="24" t="s">
        <v>14</v>
      </c>
    </row>
    <row r="361" spans="1:11" ht="140.4" x14ac:dyDescent="0.35">
      <c r="A361" s="23" t="s">
        <v>422</v>
      </c>
      <c r="B361" s="24" t="s">
        <v>13</v>
      </c>
      <c r="C361" s="24" t="s">
        <v>72</v>
      </c>
      <c r="D361" s="23" t="s">
        <v>484</v>
      </c>
      <c r="E361" s="154">
        <v>28925.62</v>
      </c>
      <c r="F361" s="23" t="s">
        <v>14</v>
      </c>
      <c r="G361" s="27" t="s">
        <v>336</v>
      </c>
      <c r="H361" s="26" t="s">
        <v>119</v>
      </c>
      <c r="I361" s="59" t="s">
        <v>49</v>
      </c>
      <c r="J361" s="24" t="s">
        <v>14</v>
      </c>
      <c r="K361" s="24" t="s">
        <v>14</v>
      </c>
    </row>
    <row r="362" spans="1:11" ht="140.4" x14ac:dyDescent="0.35">
      <c r="A362" s="23" t="s">
        <v>422</v>
      </c>
      <c r="B362" s="24" t="s">
        <v>13</v>
      </c>
      <c r="C362" s="24" t="s">
        <v>72</v>
      </c>
      <c r="D362" s="23" t="s">
        <v>485</v>
      </c>
      <c r="E362" s="154">
        <v>12396</v>
      </c>
      <c r="F362" s="23" t="s">
        <v>14</v>
      </c>
      <c r="G362" s="85" t="s">
        <v>336</v>
      </c>
      <c r="H362" s="26" t="s">
        <v>486</v>
      </c>
      <c r="I362" s="59" t="s">
        <v>49</v>
      </c>
      <c r="J362" s="24" t="s">
        <v>14</v>
      </c>
      <c r="K362" s="24" t="s">
        <v>14</v>
      </c>
    </row>
    <row r="363" spans="1:11" ht="140.4" x14ac:dyDescent="0.35">
      <c r="A363" s="23" t="s">
        <v>422</v>
      </c>
      <c r="B363" s="59" t="s">
        <v>13</v>
      </c>
      <c r="C363" s="59" t="s">
        <v>72</v>
      </c>
      <c r="D363" s="30" t="s">
        <v>487</v>
      </c>
      <c r="E363" s="155">
        <v>8260</v>
      </c>
      <c r="F363" s="30" t="s">
        <v>14</v>
      </c>
      <c r="G363" s="27" t="s">
        <v>336</v>
      </c>
      <c r="H363" s="156" t="s">
        <v>488</v>
      </c>
      <c r="I363" s="59" t="s">
        <v>49</v>
      </c>
      <c r="J363" s="59" t="s">
        <v>14</v>
      </c>
      <c r="K363" s="59" t="s">
        <v>14</v>
      </c>
    </row>
    <row r="364" spans="1:11" ht="140.4" x14ac:dyDescent="0.35">
      <c r="A364" s="23" t="s">
        <v>422</v>
      </c>
      <c r="B364" s="59" t="s">
        <v>20</v>
      </c>
      <c r="C364" s="59" t="s">
        <v>72</v>
      </c>
      <c r="D364" s="30" t="s">
        <v>489</v>
      </c>
      <c r="E364" s="155">
        <v>6121.5</v>
      </c>
      <c r="F364" s="30" t="s">
        <v>14</v>
      </c>
      <c r="G364" s="85" t="s">
        <v>336</v>
      </c>
      <c r="H364" s="156" t="s">
        <v>430</v>
      </c>
      <c r="I364" s="59" t="s">
        <v>24</v>
      </c>
      <c r="J364" s="59" t="s">
        <v>72</v>
      </c>
      <c r="K364" s="59" t="s">
        <v>14</v>
      </c>
    </row>
    <row r="365" spans="1:11" ht="140.4" x14ac:dyDescent="0.35">
      <c r="A365" s="23" t="s">
        <v>422</v>
      </c>
      <c r="B365" s="59" t="s">
        <v>20</v>
      </c>
      <c r="C365" s="59" t="s">
        <v>72</v>
      </c>
      <c r="D365" s="30" t="s">
        <v>490</v>
      </c>
      <c r="E365" s="155">
        <v>3780</v>
      </c>
      <c r="F365" s="30" t="s">
        <v>14</v>
      </c>
      <c r="G365" s="27" t="s">
        <v>336</v>
      </c>
      <c r="H365" s="156" t="s">
        <v>430</v>
      </c>
      <c r="I365" s="59" t="s">
        <v>187</v>
      </c>
      <c r="J365" s="59" t="s">
        <v>14</v>
      </c>
      <c r="K365" s="59" t="s">
        <v>14</v>
      </c>
    </row>
    <row r="366" spans="1:11" ht="62.4" x14ac:dyDescent="0.35">
      <c r="A366" s="23" t="s">
        <v>31</v>
      </c>
      <c r="B366" s="24" t="s">
        <v>20</v>
      </c>
      <c r="C366" s="59" t="s">
        <v>14</v>
      </c>
      <c r="D366" s="30" t="s">
        <v>491</v>
      </c>
      <c r="E366" s="157">
        <v>126400</v>
      </c>
      <c r="F366" s="30" t="s">
        <v>14</v>
      </c>
      <c r="G366" s="27" t="s">
        <v>492</v>
      </c>
      <c r="H366" s="156" t="s">
        <v>493</v>
      </c>
      <c r="I366" s="158" t="s">
        <v>120</v>
      </c>
      <c r="J366" s="59" t="s">
        <v>72</v>
      </c>
      <c r="K366" s="24" t="s">
        <v>14</v>
      </c>
    </row>
    <row r="367" spans="1:11" ht="62.4" x14ac:dyDescent="0.35">
      <c r="A367" s="23" t="s">
        <v>31</v>
      </c>
      <c r="B367" s="24" t="s">
        <v>20</v>
      </c>
      <c r="C367" s="24" t="s">
        <v>14</v>
      </c>
      <c r="D367" s="23" t="s">
        <v>494</v>
      </c>
      <c r="E367" s="157">
        <v>252800</v>
      </c>
      <c r="F367" s="23" t="s">
        <v>14</v>
      </c>
      <c r="G367" s="85" t="s">
        <v>492</v>
      </c>
      <c r="H367" s="26" t="s">
        <v>495</v>
      </c>
      <c r="I367" s="27" t="s">
        <v>120</v>
      </c>
      <c r="J367" s="59" t="s">
        <v>72</v>
      </c>
      <c r="K367" s="24" t="s">
        <v>14</v>
      </c>
    </row>
    <row r="368" spans="1:11" ht="62.4" x14ac:dyDescent="0.35">
      <c r="A368" s="23" t="s">
        <v>31</v>
      </c>
      <c r="B368" s="24" t="s">
        <v>20</v>
      </c>
      <c r="C368" s="24" t="s">
        <v>14</v>
      </c>
      <c r="D368" s="23" t="s">
        <v>496</v>
      </c>
      <c r="E368" s="157">
        <v>158000</v>
      </c>
      <c r="F368" s="23" t="s">
        <v>14</v>
      </c>
      <c r="G368" s="27" t="s">
        <v>492</v>
      </c>
      <c r="H368" s="23" t="s">
        <v>497</v>
      </c>
      <c r="I368" s="24" t="s">
        <v>120</v>
      </c>
      <c r="J368" s="59" t="s">
        <v>72</v>
      </c>
      <c r="K368" s="24" t="s">
        <v>14</v>
      </c>
    </row>
    <row r="369" spans="1:11" ht="62.4" x14ac:dyDescent="0.35">
      <c r="A369" s="23" t="s">
        <v>31</v>
      </c>
      <c r="B369" s="23" t="s">
        <v>469</v>
      </c>
      <c r="C369" s="24" t="s">
        <v>14</v>
      </c>
      <c r="D369" s="23" t="s">
        <v>498</v>
      </c>
      <c r="E369" s="157">
        <v>1603923.25</v>
      </c>
      <c r="F369" s="23" t="s">
        <v>14</v>
      </c>
      <c r="G369" s="85" t="s">
        <v>492</v>
      </c>
      <c r="H369" s="26" t="s">
        <v>499</v>
      </c>
      <c r="I369" s="24" t="s">
        <v>120</v>
      </c>
      <c r="J369" s="59" t="s">
        <v>72</v>
      </c>
      <c r="K369" s="24" t="s">
        <v>14</v>
      </c>
    </row>
    <row r="370" spans="1:11" ht="62.4" x14ac:dyDescent="0.35">
      <c r="A370" s="23" t="s">
        <v>31</v>
      </c>
      <c r="B370" s="24" t="s">
        <v>20</v>
      </c>
      <c r="C370" s="24" t="s">
        <v>14</v>
      </c>
      <c r="D370" s="23" t="s">
        <v>500</v>
      </c>
      <c r="E370" s="154">
        <v>10717.8</v>
      </c>
      <c r="F370" s="23" t="s">
        <v>14</v>
      </c>
      <c r="G370" s="27" t="s">
        <v>492</v>
      </c>
      <c r="H370" s="26" t="s">
        <v>430</v>
      </c>
      <c r="I370" s="59" t="s">
        <v>24</v>
      </c>
      <c r="J370" s="24" t="s">
        <v>72</v>
      </c>
      <c r="K370" s="24" t="s">
        <v>14</v>
      </c>
    </row>
    <row r="371" spans="1:11" ht="62.4" x14ac:dyDescent="0.35">
      <c r="A371" s="30" t="s">
        <v>31</v>
      </c>
      <c r="B371" s="59" t="s">
        <v>20</v>
      </c>
      <c r="C371" s="59" t="s">
        <v>14</v>
      </c>
      <c r="D371" s="30" t="s">
        <v>501</v>
      </c>
      <c r="E371" s="155">
        <v>250068.58</v>
      </c>
      <c r="F371" s="30" t="s">
        <v>14</v>
      </c>
      <c r="G371" s="85" t="s">
        <v>492</v>
      </c>
      <c r="H371" s="156" t="s">
        <v>430</v>
      </c>
      <c r="I371" s="59" t="s">
        <v>24</v>
      </c>
      <c r="J371" s="59" t="s">
        <v>72</v>
      </c>
      <c r="K371" s="59" t="s">
        <v>14</v>
      </c>
    </row>
    <row r="372" spans="1:11" ht="140.4" x14ac:dyDescent="0.35">
      <c r="A372" s="23" t="s">
        <v>422</v>
      </c>
      <c r="B372" s="24" t="s">
        <v>20</v>
      </c>
      <c r="C372" s="24" t="s">
        <v>72</v>
      </c>
      <c r="D372" s="23" t="s">
        <v>502</v>
      </c>
      <c r="E372" s="154">
        <v>24010</v>
      </c>
      <c r="F372" s="23" t="s">
        <v>14</v>
      </c>
      <c r="G372" s="85" t="s">
        <v>503</v>
      </c>
      <c r="H372" s="26" t="s">
        <v>504</v>
      </c>
      <c r="I372" s="59" t="s">
        <v>24</v>
      </c>
      <c r="J372" s="24" t="s">
        <v>14</v>
      </c>
      <c r="K372" s="24" t="s">
        <v>14</v>
      </c>
    </row>
    <row r="373" spans="1:11" ht="62.4" x14ac:dyDescent="0.35">
      <c r="A373" s="23" t="s">
        <v>31</v>
      </c>
      <c r="B373" s="24" t="s">
        <v>20</v>
      </c>
      <c r="C373" s="24" t="s">
        <v>14</v>
      </c>
      <c r="D373" s="23" t="s">
        <v>505</v>
      </c>
      <c r="E373" s="154">
        <v>123075.56</v>
      </c>
      <c r="F373" s="23" t="s">
        <v>14</v>
      </c>
      <c r="G373" s="85" t="s">
        <v>503</v>
      </c>
      <c r="H373" s="26" t="s">
        <v>506</v>
      </c>
      <c r="I373" s="59" t="s">
        <v>24</v>
      </c>
      <c r="J373" s="24" t="s">
        <v>14</v>
      </c>
      <c r="K373" s="24" t="s">
        <v>14</v>
      </c>
    </row>
    <row r="374" spans="1:11" ht="140.4" x14ac:dyDescent="0.35">
      <c r="A374" s="23" t="s">
        <v>422</v>
      </c>
      <c r="B374" s="59" t="s">
        <v>13</v>
      </c>
      <c r="C374" s="59" t="s">
        <v>72</v>
      </c>
      <c r="D374" s="30" t="s">
        <v>507</v>
      </c>
      <c r="E374" s="155">
        <v>44971.19</v>
      </c>
      <c r="F374" s="30" t="s">
        <v>14</v>
      </c>
      <c r="G374" s="159" t="s">
        <v>503</v>
      </c>
      <c r="H374" s="156" t="s">
        <v>508</v>
      </c>
      <c r="I374" s="59" t="s">
        <v>187</v>
      </c>
      <c r="J374" s="59" t="s">
        <v>14</v>
      </c>
      <c r="K374" s="59" t="s">
        <v>14</v>
      </c>
    </row>
    <row r="375" spans="1:11" x14ac:dyDescent="0.35">
      <c r="A375" s="61"/>
      <c r="B375" s="98"/>
      <c r="C375" s="98"/>
      <c r="D375" s="99"/>
      <c r="E375" s="160"/>
      <c r="F375" s="99"/>
      <c r="G375" s="161"/>
      <c r="H375" s="162"/>
      <c r="I375" s="98"/>
      <c r="J375" s="98"/>
      <c r="K375" s="98"/>
    </row>
    <row r="376" spans="1:11" ht="15" customHeight="1" x14ac:dyDescent="0.35">
      <c r="B376" s="35"/>
      <c r="C376" s="35"/>
      <c r="D376" s="61"/>
      <c r="E376" s="54"/>
      <c r="F376" s="61"/>
      <c r="G376" s="35"/>
      <c r="H376" s="35"/>
      <c r="I376" s="35"/>
      <c r="J376" s="35"/>
      <c r="K376" s="61"/>
    </row>
    <row r="377" spans="1:11" ht="19.95" customHeight="1" x14ac:dyDescent="0.35">
      <c r="B377" s="35"/>
      <c r="C377" s="35"/>
      <c r="D377" s="61"/>
      <c r="E377" s="54"/>
      <c r="F377" s="63"/>
      <c r="G377" s="35"/>
      <c r="H377" s="35"/>
      <c r="I377" s="35"/>
      <c r="J377" s="64"/>
      <c r="K377" s="61"/>
    </row>
    <row r="378" spans="1:11" ht="19.95" customHeight="1" x14ac:dyDescent="0.35">
      <c r="A378" s="1" t="s">
        <v>509</v>
      </c>
      <c r="B378" s="1"/>
      <c r="C378" s="1"/>
      <c r="D378" s="1"/>
      <c r="E378" s="1"/>
      <c r="F378" s="1"/>
      <c r="G378" s="1"/>
      <c r="H378" s="1"/>
      <c r="I378" s="1"/>
      <c r="J378" s="1"/>
      <c r="K378" s="2"/>
    </row>
    <row r="379" spans="1:11" ht="19.95" customHeight="1" x14ac:dyDescent="0.35">
      <c r="B379" s="143"/>
      <c r="C379" s="144"/>
      <c r="D379" s="37"/>
      <c r="E379" s="39"/>
      <c r="F379" s="144"/>
      <c r="G379" s="144"/>
      <c r="H379" s="41"/>
      <c r="I379" s="144"/>
      <c r="J379" s="144"/>
      <c r="K379" s="144"/>
    </row>
    <row r="380" spans="1:11" ht="19.95" customHeight="1" x14ac:dyDescent="0.35">
      <c r="A380" s="9" t="s">
        <v>1</v>
      </c>
      <c r="B380" s="42" t="s">
        <v>2</v>
      </c>
      <c r="C380" s="42" t="s">
        <v>3</v>
      </c>
      <c r="D380" s="9" t="s">
        <v>4</v>
      </c>
      <c r="E380" s="43" t="s">
        <v>5</v>
      </c>
      <c r="F380" s="42" t="s">
        <v>6</v>
      </c>
      <c r="G380" s="42" t="s">
        <v>7</v>
      </c>
      <c r="H380" s="42" t="s">
        <v>8</v>
      </c>
      <c r="I380" s="42" t="s">
        <v>9</v>
      </c>
      <c r="J380" s="42" t="s">
        <v>10</v>
      </c>
      <c r="K380" s="42" t="s">
        <v>11</v>
      </c>
    </row>
    <row r="381" spans="1:11" ht="19.95" customHeight="1" x14ac:dyDescent="0.35">
      <c r="A381" s="14"/>
      <c r="B381" s="42"/>
      <c r="C381" s="44"/>
      <c r="D381" s="14"/>
      <c r="E381" s="45"/>
      <c r="F381" s="46"/>
      <c r="G381" s="44"/>
      <c r="H381" s="44"/>
      <c r="I381" s="44"/>
      <c r="J381" s="47"/>
      <c r="K381" s="48"/>
    </row>
    <row r="382" spans="1:11" ht="78" x14ac:dyDescent="0.35">
      <c r="A382" s="30" t="s">
        <v>78</v>
      </c>
      <c r="B382" s="23" t="s">
        <v>20</v>
      </c>
      <c r="C382" s="30" t="s">
        <v>14</v>
      </c>
      <c r="D382" s="57" t="s">
        <v>510</v>
      </c>
      <c r="E382" s="29">
        <v>418000</v>
      </c>
      <c r="F382" s="23" t="s">
        <v>14</v>
      </c>
      <c r="G382" s="163" t="s">
        <v>511</v>
      </c>
      <c r="H382" s="23" t="s">
        <v>512</v>
      </c>
      <c r="I382" s="23" t="s">
        <v>18</v>
      </c>
      <c r="J382" s="23" t="s">
        <v>513</v>
      </c>
      <c r="K382" s="23" t="s">
        <v>14</v>
      </c>
    </row>
    <row r="383" spans="1:11" ht="78" x14ac:dyDescent="0.35">
      <c r="A383" s="23" t="s">
        <v>514</v>
      </c>
      <c r="B383" s="24" t="s">
        <v>20</v>
      </c>
      <c r="C383" s="164" t="s">
        <v>72</v>
      </c>
      <c r="D383" s="23" t="s">
        <v>515</v>
      </c>
      <c r="E383" s="154">
        <v>29000</v>
      </c>
      <c r="F383" s="23" t="s">
        <v>14</v>
      </c>
      <c r="G383" s="27" t="s">
        <v>39</v>
      </c>
      <c r="H383" s="26" t="s">
        <v>516</v>
      </c>
      <c r="I383" s="27" t="s">
        <v>18</v>
      </c>
      <c r="J383" s="24" t="s">
        <v>517</v>
      </c>
      <c r="K383" s="24" t="s">
        <v>14</v>
      </c>
    </row>
    <row r="384" spans="1:11" ht="109.2" x14ac:dyDescent="0.35">
      <c r="A384" s="23" t="s">
        <v>514</v>
      </c>
      <c r="B384" s="24" t="s">
        <v>20</v>
      </c>
      <c r="C384" s="164" t="s">
        <v>72</v>
      </c>
      <c r="D384" s="23" t="s">
        <v>518</v>
      </c>
      <c r="E384" s="165">
        <v>56382.58</v>
      </c>
      <c r="F384" s="23" t="s">
        <v>14</v>
      </c>
      <c r="G384" s="24" t="s">
        <v>492</v>
      </c>
      <c r="H384" s="23" t="s">
        <v>519</v>
      </c>
      <c r="I384" s="24" t="s">
        <v>18</v>
      </c>
      <c r="J384" s="24" t="s">
        <v>520</v>
      </c>
      <c r="K384" s="24" t="s">
        <v>14</v>
      </c>
    </row>
    <row r="385" spans="1:11" ht="78" x14ac:dyDescent="0.35">
      <c r="A385" s="23" t="s">
        <v>514</v>
      </c>
      <c r="B385" s="56" t="s">
        <v>20</v>
      </c>
      <c r="C385" s="166" t="s">
        <v>72</v>
      </c>
      <c r="D385" s="57" t="s">
        <v>521</v>
      </c>
      <c r="E385" s="154">
        <v>29000</v>
      </c>
      <c r="F385" s="23" t="s">
        <v>513</v>
      </c>
      <c r="G385" s="27" t="s">
        <v>492</v>
      </c>
      <c r="H385" s="23" t="s">
        <v>522</v>
      </c>
      <c r="I385" s="27" t="s">
        <v>18</v>
      </c>
      <c r="J385" s="24" t="s">
        <v>517</v>
      </c>
      <c r="K385" s="24" t="s">
        <v>14</v>
      </c>
    </row>
    <row r="386" spans="1:11" ht="62.4" x14ac:dyDescent="0.35">
      <c r="A386" s="23" t="s">
        <v>514</v>
      </c>
      <c r="B386" s="56" t="s">
        <v>20</v>
      </c>
      <c r="C386" s="166" t="s">
        <v>72</v>
      </c>
      <c r="D386" s="57" t="s">
        <v>523</v>
      </c>
      <c r="E386" s="154">
        <v>18000</v>
      </c>
      <c r="F386" s="23" t="s">
        <v>513</v>
      </c>
      <c r="G386" s="24" t="s">
        <v>492</v>
      </c>
      <c r="H386" s="23" t="s">
        <v>524</v>
      </c>
      <c r="I386" s="24" t="s">
        <v>18</v>
      </c>
      <c r="J386" s="24" t="s">
        <v>517</v>
      </c>
      <c r="K386" s="24" t="s">
        <v>14</v>
      </c>
    </row>
    <row r="387" spans="1:11" x14ac:dyDescent="0.35">
      <c r="B387" s="3"/>
      <c r="C387" s="3"/>
      <c r="D387" s="4"/>
      <c r="E387" s="167"/>
      <c r="F387" s="3"/>
      <c r="G387" s="3"/>
      <c r="H387" s="3"/>
      <c r="I387" s="3"/>
      <c r="J387" s="3"/>
      <c r="K387" s="3"/>
    </row>
    <row r="388" spans="1:11" x14ac:dyDescent="0.35">
      <c r="B388" s="3"/>
      <c r="C388" s="3"/>
      <c r="D388" s="4"/>
      <c r="E388" s="167"/>
      <c r="F388" s="3"/>
      <c r="G388" s="3"/>
      <c r="H388" s="3"/>
      <c r="I388" s="3"/>
      <c r="J388" s="3"/>
      <c r="K388" s="3"/>
    </row>
    <row r="389" spans="1:11" x14ac:dyDescent="0.35">
      <c r="B389" s="3"/>
      <c r="C389" s="3"/>
      <c r="D389" s="4"/>
      <c r="E389" s="167"/>
      <c r="F389" s="3"/>
      <c r="G389" s="3"/>
      <c r="H389" s="3"/>
      <c r="I389" s="3"/>
      <c r="J389" s="3"/>
      <c r="K389" s="3"/>
    </row>
    <row r="390" spans="1:11" x14ac:dyDescent="0.35">
      <c r="B390" s="3"/>
      <c r="C390" s="3"/>
      <c r="D390" s="4"/>
      <c r="E390" s="167"/>
      <c r="F390" s="3"/>
      <c r="G390" s="3"/>
      <c r="H390" s="3"/>
      <c r="I390" s="3"/>
      <c r="J390" s="3"/>
      <c r="K390" s="3"/>
    </row>
    <row r="391" spans="1:11" x14ac:dyDescent="0.35">
      <c r="B391" s="3"/>
      <c r="C391" s="3"/>
      <c r="D391" s="4"/>
      <c r="E391" s="167"/>
      <c r="F391" s="3"/>
      <c r="G391" s="3"/>
      <c r="H391" s="3"/>
      <c r="I391" s="3"/>
      <c r="J391" s="3"/>
      <c r="K391" s="3"/>
    </row>
    <row r="392" spans="1:11" x14ac:dyDescent="0.35">
      <c r="B392" s="3"/>
      <c r="C392" s="3"/>
      <c r="D392" s="4"/>
      <c r="E392" s="167"/>
      <c r="F392" s="3"/>
      <c r="G392" s="3"/>
      <c r="H392" s="3"/>
      <c r="I392" s="3"/>
      <c r="J392" s="3"/>
      <c r="K392" s="3"/>
    </row>
    <row r="393" spans="1:11" x14ac:dyDescent="0.35">
      <c r="B393" s="3"/>
      <c r="C393" s="3"/>
      <c r="D393" s="4"/>
      <c r="E393" s="167"/>
      <c r="F393" s="3"/>
      <c r="G393" s="3"/>
      <c r="H393" s="3"/>
      <c r="I393" s="3"/>
      <c r="J393" s="3"/>
      <c r="K393" s="3"/>
    </row>
    <row r="394" spans="1:11" ht="19.95" customHeight="1" x14ac:dyDescent="0.35">
      <c r="B394" s="35"/>
      <c r="C394" s="35"/>
      <c r="D394" s="61"/>
      <c r="E394" s="54"/>
      <c r="F394" s="63"/>
      <c r="G394" s="35"/>
      <c r="H394" s="35"/>
      <c r="I394" s="35"/>
      <c r="J394" s="64"/>
      <c r="K394" s="61"/>
    </row>
    <row r="395" spans="1:11" ht="19.95" customHeight="1" x14ac:dyDescent="0.35">
      <c r="A395" s="1" t="s">
        <v>525</v>
      </c>
      <c r="B395" s="1"/>
      <c r="C395" s="1"/>
      <c r="D395" s="1"/>
      <c r="E395" s="1"/>
      <c r="F395" s="1"/>
      <c r="G395" s="1"/>
      <c r="H395" s="1"/>
      <c r="I395" s="1"/>
      <c r="J395" s="1"/>
      <c r="K395" s="2"/>
    </row>
    <row r="396" spans="1:11" ht="19.95" customHeight="1" x14ac:dyDescent="0.35">
      <c r="B396" s="143"/>
      <c r="C396" s="144"/>
      <c r="D396" s="37"/>
      <c r="E396" s="39"/>
      <c r="F396" s="144"/>
      <c r="G396" s="144"/>
      <c r="H396" s="41"/>
      <c r="I396" s="144"/>
      <c r="J396" s="144"/>
      <c r="K396" s="144"/>
    </row>
    <row r="397" spans="1:11" ht="19.95" customHeight="1" x14ac:dyDescent="0.35">
      <c r="A397" s="9" t="s">
        <v>1</v>
      </c>
      <c r="B397" s="42" t="s">
        <v>2</v>
      </c>
      <c r="C397" s="42" t="s">
        <v>3</v>
      </c>
      <c r="D397" s="9" t="s">
        <v>4</v>
      </c>
      <c r="E397" s="43" t="s">
        <v>5</v>
      </c>
      <c r="F397" s="42" t="s">
        <v>6</v>
      </c>
      <c r="G397" s="42" t="s">
        <v>7</v>
      </c>
      <c r="H397" s="42" t="s">
        <v>8</v>
      </c>
      <c r="I397" s="42" t="s">
        <v>9</v>
      </c>
      <c r="J397" s="42" t="s">
        <v>10</v>
      </c>
      <c r="K397" s="42" t="s">
        <v>11</v>
      </c>
    </row>
    <row r="398" spans="1:11" ht="19.95" customHeight="1" x14ac:dyDescent="0.35">
      <c r="A398" s="14"/>
      <c r="B398" s="42"/>
      <c r="C398" s="44"/>
      <c r="D398" s="14"/>
      <c r="E398" s="45"/>
      <c r="F398" s="46"/>
      <c r="G398" s="44"/>
      <c r="H398" s="44"/>
      <c r="I398" s="44"/>
      <c r="J398" s="47"/>
      <c r="K398" s="48"/>
    </row>
    <row r="399" spans="1:11" ht="109.2" x14ac:dyDescent="0.35">
      <c r="A399" s="30" t="s">
        <v>93</v>
      </c>
      <c r="B399" s="24" t="s">
        <v>20</v>
      </c>
      <c r="C399" s="24" t="s">
        <v>14</v>
      </c>
      <c r="D399" s="23" t="s">
        <v>526</v>
      </c>
      <c r="E399" s="154">
        <v>737905.47</v>
      </c>
      <c r="F399" s="23" t="s">
        <v>14</v>
      </c>
      <c r="G399" s="27" t="s">
        <v>39</v>
      </c>
      <c r="H399" s="27" t="s">
        <v>527</v>
      </c>
      <c r="I399" s="168" t="s">
        <v>120</v>
      </c>
      <c r="J399" s="24" t="s">
        <v>219</v>
      </c>
      <c r="K399" s="23" t="s">
        <v>14</v>
      </c>
    </row>
    <row r="400" spans="1:11" ht="62.4" x14ac:dyDescent="0.35">
      <c r="A400" s="30" t="s">
        <v>93</v>
      </c>
      <c r="B400" s="23" t="s">
        <v>20</v>
      </c>
      <c r="C400" s="24" t="s">
        <v>14</v>
      </c>
      <c r="D400" s="23" t="s">
        <v>528</v>
      </c>
      <c r="E400" s="154">
        <v>4660000</v>
      </c>
      <c r="F400" s="23" t="s">
        <v>14</v>
      </c>
      <c r="G400" s="24" t="s">
        <v>39</v>
      </c>
      <c r="H400" s="156" t="s">
        <v>529</v>
      </c>
      <c r="I400" s="24" t="s">
        <v>193</v>
      </c>
      <c r="J400" s="24">
        <v>2</v>
      </c>
      <c r="K400" s="23" t="s">
        <v>14</v>
      </c>
    </row>
    <row r="401" spans="1:11" ht="46.8" x14ac:dyDescent="0.35">
      <c r="A401" s="23" t="s">
        <v>530</v>
      </c>
      <c r="B401" s="24" t="s">
        <v>20</v>
      </c>
      <c r="C401" s="24" t="s">
        <v>72</v>
      </c>
      <c r="D401" s="23" t="s">
        <v>531</v>
      </c>
      <c r="E401" s="154">
        <v>27261.75</v>
      </c>
      <c r="F401" s="23" t="s">
        <v>14</v>
      </c>
      <c r="G401" s="27" t="s">
        <v>34</v>
      </c>
      <c r="H401" s="23" t="s">
        <v>532</v>
      </c>
      <c r="I401" s="23" t="s">
        <v>18</v>
      </c>
      <c r="J401" s="23" t="s">
        <v>72</v>
      </c>
      <c r="K401" s="23" t="s">
        <v>14</v>
      </c>
    </row>
    <row r="402" spans="1:11" ht="46.8" x14ac:dyDescent="0.35">
      <c r="A402" s="23" t="s">
        <v>530</v>
      </c>
      <c r="B402" s="23" t="s">
        <v>13</v>
      </c>
      <c r="C402" s="24" t="s">
        <v>72</v>
      </c>
      <c r="D402" s="23" t="s">
        <v>533</v>
      </c>
      <c r="E402" s="154">
        <f>6500*3/1.21</f>
        <v>16115.702479338843</v>
      </c>
      <c r="F402" s="23" t="s">
        <v>14</v>
      </c>
      <c r="G402" s="27" t="s">
        <v>34</v>
      </c>
      <c r="H402" s="23" t="s">
        <v>119</v>
      </c>
      <c r="I402" s="23" t="s">
        <v>187</v>
      </c>
      <c r="J402" s="23" t="s">
        <v>14</v>
      </c>
      <c r="K402" s="23" t="s">
        <v>14</v>
      </c>
    </row>
    <row r="403" spans="1:11" ht="15" customHeight="1" x14ac:dyDescent="0.35">
      <c r="B403" s="169"/>
      <c r="C403" s="169"/>
      <c r="D403" s="170"/>
      <c r="E403" s="62"/>
      <c r="F403" s="170"/>
      <c r="G403" s="171"/>
      <c r="H403" s="169"/>
      <c r="I403" s="169"/>
      <c r="J403" s="169"/>
      <c r="K403" s="170"/>
    </row>
    <row r="404" spans="1:11" ht="19.95" customHeight="1" x14ac:dyDescent="0.35">
      <c r="B404" s="35"/>
      <c r="C404" s="35"/>
      <c r="D404" s="61"/>
      <c r="E404" s="54"/>
      <c r="F404" s="63"/>
      <c r="G404" s="35"/>
      <c r="H404" s="35"/>
      <c r="I404" s="35"/>
      <c r="J404" s="64"/>
      <c r="K404" s="61"/>
    </row>
    <row r="405" spans="1:11" ht="19.95" customHeight="1" x14ac:dyDescent="0.35">
      <c r="A405" s="1" t="s">
        <v>534</v>
      </c>
      <c r="B405" s="1"/>
      <c r="C405" s="1"/>
      <c r="D405" s="1"/>
      <c r="E405" s="1"/>
      <c r="F405" s="1"/>
      <c r="G405" s="1"/>
      <c r="H405" s="1"/>
      <c r="I405" s="1"/>
      <c r="J405" s="1"/>
      <c r="K405" s="2"/>
    </row>
    <row r="406" spans="1:11" ht="19.95" customHeight="1" x14ac:dyDescent="0.35">
      <c r="B406" s="143"/>
      <c r="C406" s="144"/>
      <c r="D406" s="37"/>
      <c r="E406" s="39"/>
      <c r="F406" s="144"/>
      <c r="G406" s="144"/>
      <c r="H406" s="41"/>
      <c r="I406" s="144"/>
      <c r="J406" s="144"/>
      <c r="K406" s="144"/>
    </row>
    <row r="407" spans="1:11" ht="19.95" customHeight="1" x14ac:dyDescent="0.35">
      <c r="A407" s="9" t="s">
        <v>1</v>
      </c>
      <c r="B407" s="42" t="s">
        <v>2</v>
      </c>
      <c r="C407" s="42" t="s">
        <v>3</v>
      </c>
      <c r="D407" s="9" t="s">
        <v>4</v>
      </c>
      <c r="E407" s="43" t="s">
        <v>5</v>
      </c>
      <c r="F407" s="42" t="s">
        <v>6</v>
      </c>
      <c r="G407" s="42" t="s">
        <v>7</v>
      </c>
      <c r="H407" s="42" t="s">
        <v>8</v>
      </c>
      <c r="I407" s="42" t="s">
        <v>9</v>
      </c>
      <c r="J407" s="42" t="s">
        <v>10</v>
      </c>
      <c r="K407" s="42" t="s">
        <v>11</v>
      </c>
    </row>
    <row r="408" spans="1:11" ht="26.4" customHeight="1" x14ac:dyDescent="0.35">
      <c r="A408" s="14"/>
      <c r="B408" s="42"/>
      <c r="C408" s="44"/>
      <c r="D408" s="14"/>
      <c r="E408" s="45"/>
      <c r="F408" s="46"/>
      <c r="G408" s="44"/>
      <c r="H408" s="44"/>
      <c r="I408" s="44"/>
      <c r="J408" s="47"/>
      <c r="K408" s="48"/>
    </row>
    <row r="409" spans="1:11" ht="140.4" x14ac:dyDescent="0.35">
      <c r="A409" s="23" t="s">
        <v>535</v>
      </c>
      <c r="B409" s="23" t="s">
        <v>20</v>
      </c>
      <c r="C409" s="23" t="s">
        <v>72</v>
      </c>
      <c r="D409" s="23" t="s">
        <v>536</v>
      </c>
      <c r="E409" s="29">
        <v>6510</v>
      </c>
      <c r="F409" s="23" t="s">
        <v>14</v>
      </c>
      <c r="G409" s="23" t="s">
        <v>39</v>
      </c>
      <c r="H409" s="131" t="s">
        <v>537</v>
      </c>
      <c r="I409" s="23" t="s">
        <v>18</v>
      </c>
      <c r="J409" s="23" t="s">
        <v>19</v>
      </c>
      <c r="K409" s="23" t="s">
        <v>14</v>
      </c>
    </row>
    <row r="410" spans="1:11" ht="140.4" x14ac:dyDescent="0.35">
      <c r="A410" s="23" t="s">
        <v>535</v>
      </c>
      <c r="B410" s="23" t="s">
        <v>538</v>
      </c>
      <c r="C410" s="23" t="s">
        <v>72</v>
      </c>
      <c r="D410" s="23" t="s">
        <v>539</v>
      </c>
      <c r="E410" s="29">
        <v>55000</v>
      </c>
      <c r="F410" s="23" t="s">
        <v>72</v>
      </c>
      <c r="G410" s="23" t="s">
        <v>39</v>
      </c>
      <c r="H410" s="61" t="s">
        <v>540</v>
      </c>
      <c r="I410" s="23" t="s">
        <v>24</v>
      </c>
      <c r="J410" s="23" t="s">
        <v>19</v>
      </c>
      <c r="K410" s="23" t="s">
        <v>14</v>
      </c>
    </row>
    <row r="411" spans="1:11" ht="62.4" x14ac:dyDescent="0.35">
      <c r="A411" s="30" t="s">
        <v>78</v>
      </c>
      <c r="B411" s="23" t="s">
        <v>20</v>
      </c>
      <c r="C411" s="23" t="s">
        <v>14</v>
      </c>
      <c r="D411" s="23" t="s">
        <v>541</v>
      </c>
      <c r="E411" s="154">
        <v>140000</v>
      </c>
      <c r="F411" s="23" t="s">
        <v>14</v>
      </c>
      <c r="G411" s="23" t="s">
        <v>39</v>
      </c>
      <c r="H411" s="23" t="s">
        <v>542</v>
      </c>
      <c r="I411" s="23" t="s">
        <v>24</v>
      </c>
      <c r="J411" s="23" t="s">
        <v>14</v>
      </c>
      <c r="K411" s="23" t="s">
        <v>543</v>
      </c>
    </row>
    <row r="412" spans="1:11" ht="62.4" x14ac:dyDescent="0.35">
      <c r="A412" s="30" t="s">
        <v>78</v>
      </c>
      <c r="B412" s="23" t="s">
        <v>20</v>
      </c>
      <c r="C412" s="23" t="s">
        <v>14</v>
      </c>
      <c r="D412" s="23" t="s">
        <v>544</v>
      </c>
      <c r="E412" s="29">
        <v>150000</v>
      </c>
      <c r="F412" s="23" t="s">
        <v>14</v>
      </c>
      <c r="G412" s="23" t="s">
        <v>39</v>
      </c>
      <c r="H412" s="23" t="s">
        <v>545</v>
      </c>
      <c r="I412" s="23" t="s">
        <v>24</v>
      </c>
      <c r="J412" s="23" t="s">
        <v>14</v>
      </c>
      <c r="K412" s="23" t="s">
        <v>543</v>
      </c>
    </row>
    <row r="413" spans="1:11" ht="62.4" x14ac:dyDescent="0.35">
      <c r="A413" s="30" t="s">
        <v>78</v>
      </c>
      <c r="B413" s="23" t="s">
        <v>20</v>
      </c>
      <c r="C413" s="23" t="s">
        <v>14</v>
      </c>
      <c r="D413" s="23" t="s">
        <v>546</v>
      </c>
      <c r="E413" s="29">
        <v>4500</v>
      </c>
      <c r="F413" s="23" t="s">
        <v>14</v>
      </c>
      <c r="G413" s="23" t="s">
        <v>39</v>
      </c>
      <c r="H413" s="23" t="s">
        <v>547</v>
      </c>
      <c r="I413" s="30" t="s">
        <v>187</v>
      </c>
      <c r="J413" s="23" t="s">
        <v>14</v>
      </c>
      <c r="K413" s="23" t="s">
        <v>543</v>
      </c>
    </row>
    <row r="414" spans="1:11" ht="93.6" x14ac:dyDescent="0.35">
      <c r="A414" s="30" t="s">
        <v>78</v>
      </c>
      <c r="B414" s="23" t="s">
        <v>13</v>
      </c>
      <c r="C414" s="23" t="s">
        <v>14</v>
      </c>
      <c r="D414" s="23" t="s">
        <v>548</v>
      </c>
      <c r="E414" s="29">
        <v>417566.94</v>
      </c>
      <c r="F414" s="23" t="s">
        <v>72</v>
      </c>
      <c r="G414" s="26" t="s">
        <v>60</v>
      </c>
      <c r="H414" s="107" t="s">
        <v>549</v>
      </c>
      <c r="I414" s="156" t="s">
        <v>18</v>
      </c>
      <c r="J414" s="23" t="s">
        <v>14</v>
      </c>
      <c r="K414" s="23" t="s">
        <v>14</v>
      </c>
    </row>
    <row r="415" spans="1:11" ht="140.4" x14ac:dyDescent="0.35">
      <c r="A415" s="23" t="s">
        <v>535</v>
      </c>
      <c r="B415" s="23" t="s">
        <v>268</v>
      </c>
      <c r="C415" s="23" t="s">
        <v>72</v>
      </c>
      <c r="D415" s="23" t="s">
        <v>550</v>
      </c>
      <c r="E415" s="29">
        <v>27280</v>
      </c>
      <c r="F415" s="23" t="s">
        <v>14</v>
      </c>
      <c r="G415" s="23" t="s">
        <v>60</v>
      </c>
      <c r="H415" s="23" t="s">
        <v>551</v>
      </c>
      <c r="I415" s="30" t="s">
        <v>552</v>
      </c>
      <c r="J415" s="23" t="s">
        <v>14</v>
      </c>
      <c r="K415" s="23" t="s">
        <v>543</v>
      </c>
    </row>
    <row r="416" spans="1:11" ht="140.4" x14ac:dyDescent="0.35">
      <c r="A416" s="23" t="s">
        <v>535</v>
      </c>
      <c r="B416" s="23" t="s">
        <v>268</v>
      </c>
      <c r="C416" s="23" t="s">
        <v>72</v>
      </c>
      <c r="D416" s="23" t="s">
        <v>553</v>
      </c>
      <c r="E416" s="29">
        <v>58500</v>
      </c>
      <c r="F416" s="23" t="s">
        <v>14</v>
      </c>
      <c r="G416" s="23" t="s">
        <v>240</v>
      </c>
      <c r="H416" s="23" t="s">
        <v>554</v>
      </c>
      <c r="I416" s="23" t="s">
        <v>24</v>
      </c>
      <c r="J416" s="23" t="s">
        <v>19</v>
      </c>
      <c r="K416" s="23" t="s">
        <v>543</v>
      </c>
    </row>
    <row r="417" spans="1:11" x14ac:dyDescent="0.35">
      <c r="B417" s="61"/>
      <c r="C417" s="61"/>
      <c r="D417" s="61"/>
      <c r="E417" s="54"/>
      <c r="F417" s="61"/>
      <c r="G417" s="61"/>
      <c r="H417" s="61"/>
      <c r="I417" s="61"/>
      <c r="J417" s="61"/>
      <c r="K417" s="61"/>
    </row>
    <row r="418" spans="1:11" ht="19.95" customHeight="1" x14ac:dyDescent="0.35">
      <c r="B418" s="35"/>
      <c r="C418" s="35"/>
      <c r="D418" s="61"/>
      <c r="E418" s="54"/>
      <c r="F418" s="63"/>
      <c r="G418" s="35"/>
      <c r="H418" s="35"/>
      <c r="I418" s="35"/>
      <c r="J418" s="64"/>
      <c r="K418" s="61"/>
    </row>
    <row r="419" spans="1:11" ht="19.95" customHeight="1" x14ac:dyDescent="0.35">
      <c r="A419" s="1" t="s">
        <v>555</v>
      </c>
      <c r="B419" s="1"/>
      <c r="C419" s="1"/>
      <c r="D419" s="1"/>
      <c r="E419" s="1"/>
      <c r="F419" s="1"/>
      <c r="G419" s="1"/>
      <c r="H419" s="1"/>
      <c r="I419" s="1"/>
      <c r="J419" s="1"/>
      <c r="K419" s="2"/>
    </row>
    <row r="420" spans="1:11" ht="19.95" customHeight="1" x14ac:dyDescent="0.35">
      <c r="B420" s="143"/>
      <c r="C420" s="144"/>
      <c r="D420" s="37"/>
      <c r="E420" s="39"/>
      <c r="F420" s="144"/>
      <c r="G420" s="144"/>
      <c r="H420" s="41"/>
      <c r="I420" s="144"/>
      <c r="J420" s="144"/>
      <c r="K420" s="144"/>
    </row>
    <row r="421" spans="1:11" ht="19.95" customHeight="1" x14ac:dyDescent="0.35">
      <c r="A421" s="9" t="s">
        <v>1</v>
      </c>
      <c r="B421" s="42" t="s">
        <v>2</v>
      </c>
      <c r="C421" s="42" t="s">
        <v>3</v>
      </c>
      <c r="D421" s="9" t="s">
        <v>4</v>
      </c>
      <c r="E421" s="43" t="s">
        <v>5</v>
      </c>
      <c r="F421" s="42" t="s">
        <v>6</v>
      </c>
      <c r="G421" s="42" t="s">
        <v>7</v>
      </c>
      <c r="H421" s="42" t="s">
        <v>8</v>
      </c>
      <c r="I421" s="42" t="s">
        <v>9</v>
      </c>
      <c r="J421" s="42" t="s">
        <v>10</v>
      </c>
      <c r="K421" s="42" t="s">
        <v>11</v>
      </c>
    </row>
    <row r="422" spans="1:11" ht="19.95" customHeight="1" x14ac:dyDescent="0.35">
      <c r="A422" s="14"/>
      <c r="B422" s="42"/>
      <c r="C422" s="44"/>
      <c r="D422" s="14"/>
      <c r="E422" s="45"/>
      <c r="F422" s="46"/>
      <c r="G422" s="44"/>
      <c r="H422" s="44"/>
      <c r="I422" s="44"/>
      <c r="J422" s="47"/>
      <c r="K422" s="48"/>
    </row>
    <row r="423" spans="1:11" ht="31.2" x14ac:dyDescent="0.35">
      <c r="A423" s="30" t="s">
        <v>556</v>
      </c>
      <c r="B423" s="24" t="s">
        <v>13</v>
      </c>
      <c r="C423" s="59" t="s">
        <v>72</v>
      </c>
      <c r="D423" s="149" t="s">
        <v>557</v>
      </c>
      <c r="E423" s="154">
        <v>45798</v>
      </c>
      <c r="F423" s="23" t="s">
        <v>14</v>
      </c>
      <c r="G423" s="24" t="s">
        <v>44</v>
      </c>
      <c r="H423" s="56" t="s">
        <v>558</v>
      </c>
      <c r="I423" s="24" t="s">
        <v>559</v>
      </c>
      <c r="J423" s="24" t="s">
        <v>14</v>
      </c>
      <c r="K423" s="24" t="s">
        <v>14</v>
      </c>
    </row>
    <row r="424" spans="1:11" ht="31.2" x14ac:dyDescent="0.35">
      <c r="A424" s="30" t="s">
        <v>556</v>
      </c>
      <c r="B424" s="24" t="s">
        <v>20</v>
      </c>
      <c r="C424" s="59" t="s">
        <v>72</v>
      </c>
      <c r="D424" s="149" t="s">
        <v>560</v>
      </c>
      <c r="E424" s="154">
        <v>26000</v>
      </c>
      <c r="F424" s="23" t="s">
        <v>14</v>
      </c>
      <c r="G424" s="24" t="s">
        <v>44</v>
      </c>
      <c r="H424" s="56" t="s">
        <v>558</v>
      </c>
      <c r="I424" s="24" t="s">
        <v>561</v>
      </c>
      <c r="J424" s="24" t="s">
        <v>72</v>
      </c>
      <c r="K424" s="24" t="s">
        <v>14</v>
      </c>
    </row>
    <row r="425" spans="1:11" ht="31.2" x14ac:dyDescent="0.35">
      <c r="A425" s="30" t="s">
        <v>556</v>
      </c>
      <c r="B425" s="24" t="s">
        <v>13</v>
      </c>
      <c r="C425" s="24" t="s">
        <v>72</v>
      </c>
      <c r="D425" s="147" t="s">
        <v>562</v>
      </c>
      <c r="E425" s="154">
        <v>12000</v>
      </c>
      <c r="F425" s="107" t="s">
        <v>14</v>
      </c>
      <c r="G425" s="24" t="s">
        <v>44</v>
      </c>
      <c r="H425" s="24">
        <v>18512200</v>
      </c>
      <c r="I425" s="172" t="s">
        <v>18</v>
      </c>
      <c r="J425" s="172" t="s">
        <v>14</v>
      </c>
      <c r="K425" s="172" t="s">
        <v>14</v>
      </c>
    </row>
    <row r="426" spans="1:11" ht="62.4" x14ac:dyDescent="0.35">
      <c r="A426" s="30" t="s">
        <v>78</v>
      </c>
      <c r="B426" s="24" t="s">
        <v>20</v>
      </c>
      <c r="C426" s="24" t="s">
        <v>14</v>
      </c>
      <c r="D426" s="24" t="s">
        <v>563</v>
      </c>
      <c r="E426" s="154">
        <v>105041.33</v>
      </c>
      <c r="F426" s="23" t="s">
        <v>14</v>
      </c>
      <c r="G426" s="24" t="s">
        <v>44</v>
      </c>
      <c r="H426" s="24">
        <v>50610000</v>
      </c>
      <c r="I426" s="24" t="s">
        <v>18</v>
      </c>
      <c r="J426" s="24" t="s">
        <v>72</v>
      </c>
      <c r="K426" s="24" t="s">
        <v>14</v>
      </c>
    </row>
    <row r="427" spans="1:11" ht="62.4" x14ac:dyDescent="0.35">
      <c r="A427" s="30" t="s">
        <v>78</v>
      </c>
      <c r="B427" s="24" t="s">
        <v>20</v>
      </c>
      <c r="C427" s="24" t="s">
        <v>14</v>
      </c>
      <c r="D427" s="149" t="s">
        <v>564</v>
      </c>
      <c r="E427" s="154">
        <v>284380.14</v>
      </c>
      <c r="F427" s="23" t="s">
        <v>72</v>
      </c>
      <c r="G427" s="24" t="s">
        <v>44</v>
      </c>
      <c r="H427" s="23" t="s">
        <v>565</v>
      </c>
      <c r="I427" s="24" t="s">
        <v>18</v>
      </c>
      <c r="J427" s="24" t="s">
        <v>72</v>
      </c>
      <c r="K427" s="24" t="s">
        <v>14</v>
      </c>
    </row>
    <row r="428" spans="1:11" ht="62.4" x14ac:dyDescent="0.35">
      <c r="A428" s="30" t="s">
        <v>78</v>
      </c>
      <c r="B428" s="24" t="s">
        <v>13</v>
      </c>
      <c r="C428" s="24" t="s">
        <v>14</v>
      </c>
      <c r="D428" s="149" t="s">
        <v>566</v>
      </c>
      <c r="E428" s="154">
        <v>544628.1</v>
      </c>
      <c r="F428" s="23" t="s">
        <v>72</v>
      </c>
      <c r="G428" s="24" t="s">
        <v>44</v>
      </c>
      <c r="H428" s="147" t="s">
        <v>567</v>
      </c>
      <c r="I428" s="24" t="s">
        <v>18</v>
      </c>
      <c r="J428" s="24" t="s">
        <v>72</v>
      </c>
      <c r="K428" s="24" t="s">
        <v>14</v>
      </c>
    </row>
    <row r="429" spans="1:11" ht="62.4" x14ac:dyDescent="0.35">
      <c r="A429" s="30" t="s">
        <v>78</v>
      </c>
      <c r="B429" s="24" t="s">
        <v>13</v>
      </c>
      <c r="C429" s="24" t="s">
        <v>14</v>
      </c>
      <c r="D429" s="149" t="s">
        <v>568</v>
      </c>
      <c r="E429" s="154">
        <v>21158.400000000001</v>
      </c>
      <c r="F429" s="23" t="s">
        <v>72</v>
      </c>
      <c r="G429" s="24" t="s">
        <v>44</v>
      </c>
      <c r="H429" s="24" t="s">
        <v>569</v>
      </c>
      <c r="I429" s="24" t="s">
        <v>18</v>
      </c>
      <c r="J429" s="24" t="s">
        <v>72</v>
      </c>
      <c r="K429" s="24" t="s">
        <v>14</v>
      </c>
    </row>
    <row r="430" spans="1:11" ht="62.4" x14ac:dyDescent="0.35">
      <c r="A430" s="30" t="s">
        <v>78</v>
      </c>
      <c r="B430" s="24" t="s">
        <v>13</v>
      </c>
      <c r="C430" s="24" t="s">
        <v>14</v>
      </c>
      <c r="D430" s="147" t="s">
        <v>570</v>
      </c>
      <c r="E430" s="154">
        <v>137438.01999999999</v>
      </c>
      <c r="F430" s="23" t="s">
        <v>14</v>
      </c>
      <c r="G430" s="24" t="s">
        <v>44</v>
      </c>
      <c r="H430" s="56">
        <v>35815100</v>
      </c>
      <c r="I430" s="24" t="s">
        <v>18</v>
      </c>
      <c r="J430" s="24" t="s">
        <v>14</v>
      </c>
      <c r="K430" s="24" t="s">
        <v>14</v>
      </c>
    </row>
    <row r="431" spans="1:11" ht="31.2" x14ac:dyDescent="0.35">
      <c r="A431" s="30" t="s">
        <v>556</v>
      </c>
      <c r="B431" s="24" t="s">
        <v>13</v>
      </c>
      <c r="C431" s="24" t="s">
        <v>72</v>
      </c>
      <c r="D431" s="149" t="s">
        <v>571</v>
      </c>
      <c r="E431" s="154">
        <v>59504.13</v>
      </c>
      <c r="F431" s="23" t="s">
        <v>14</v>
      </c>
      <c r="G431" s="24" t="s">
        <v>44</v>
      </c>
      <c r="H431" s="56" t="s">
        <v>572</v>
      </c>
      <c r="I431" s="24" t="s">
        <v>18</v>
      </c>
      <c r="J431" s="24" t="s">
        <v>14</v>
      </c>
      <c r="K431" s="24" t="s">
        <v>14</v>
      </c>
    </row>
    <row r="432" spans="1:11" ht="31.2" x14ac:dyDescent="0.35">
      <c r="A432" s="30" t="s">
        <v>556</v>
      </c>
      <c r="B432" s="24" t="s">
        <v>13</v>
      </c>
      <c r="C432" s="172" t="s">
        <v>72</v>
      </c>
      <c r="D432" s="173" t="s">
        <v>573</v>
      </c>
      <c r="E432" s="174">
        <v>9917.36</v>
      </c>
      <c r="F432" s="23" t="s">
        <v>14</v>
      </c>
      <c r="G432" s="24" t="s">
        <v>44</v>
      </c>
      <c r="H432" s="56" t="s">
        <v>574</v>
      </c>
      <c r="I432" s="24" t="s">
        <v>18</v>
      </c>
      <c r="J432" s="24" t="s">
        <v>14</v>
      </c>
      <c r="K432" s="24" t="s">
        <v>14</v>
      </c>
    </row>
    <row r="433" spans="1:11" ht="31.2" x14ac:dyDescent="0.35">
      <c r="A433" s="30" t="s">
        <v>556</v>
      </c>
      <c r="B433" s="24" t="s">
        <v>20</v>
      </c>
      <c r="C433" s="59" t="s">
        <v>72</v>
      </c>
      <c r="D433" s="30" t="s">
        <v>575</v>
      </c>
      <c r="E433" s="154">
        <v>58822.98</v>
      </c>
      <c r="F433" s="23" t="s">
        <v>14</v>
      </c>
      <c r="G433" s="24" t="s">
        <v>336</v>
      </c>
      <c r="H433" s="56" t="s">
        <v>558</v>
      </c>
      <c r="I433" s="24" t="s">
        <v>295</v>
      </c>
      <c r="J433" s="24" t="s">
        <v>72</v>
      </c>
      <c r="K433" s="24" t="s">
        <v>14</v>
      </c>
    </row>
    <row r="434" spans="1:11" ht="62.4" x14ac:dyDescent="0.35">
      <c r="A434" s="30" t="s">
        <v>78</v>
      </c>
      <c r="B434" s="24" t="s">
        <v>13</v>
      </c>
      <c r="C434" s="24" t="s">
        <v>14</v>
      </c>
      <c r="D434" s="149" t="s">
        <v>576</v>
      </c>
      <c r="E434" s="154">
        <v>82644.600000000006</v>
      </c>
      <c r="F434" s="23" t="s">
        <v>72</v>
      </c>
      <c r="G434" s="24" t="s">
        <v>336</v>
      </c>
      <c r="H434" s="56">
        <v>32235000</v>
      </c>
      <c r="I434" s="24" t="s">
        <v>18</v>
      </c>
      <c r="J434" s="24" t="s">
        <v>14</v>
      </c>
      <c r="K434" s="24" t="s">
        <v>14</v>
      </c>
    </row>
    <row r="435" spans="1:11" ht="62.4" x14ac:dyDescent="0.35">
      <c r="A435" s="30" t="s">
        <v>78</v>
      </c>
      <c r="B435" s="24" t="s">
        <v>20</v>
      </c>
      <c r="C435" s="24" t="s">
        <v>14</v>
      </c>
      <c r="D435" s="24" t="s">
        <v>577</v>
      </c>
      <c r="E435" s="154">
        <v>100000</v>
      </c>
      <c r="F435" s="23" t="s">
        <v>14</v>
      </c>
      <c r="G435" s="24" t="s">
        <v>492</v>
      </c>
      <c r="H435" s="24" t="s">
        <v>578</v>
      </c>
      <c r="I435" s="24" t="s">
        <v>18</v>
      </c>
      <c r="J435" s="24" t="s">
        <v>72</v>
      </c>
      <c r="K435" s="24" t="s">
        <v>14</v>
      </c>
    </row>
    <row r="436" spans="1:11" ht="15" customHeight="1" x14ac:dyDescent="0.35">
      <c r="B436" s="169"/>
      <c r="C436" s="169"/>
      <c r="D436" s="170"/>
      <c r="E436" s="62"/>
      <c r="F436" s="170"/>
      <c r="G436" s="169"/>
      <c r="H436" s="169"/>
      <c r="I436" s="169"/>
      <c r="J436" s="169"/>
      <c r="K436" s="170"/>
    </row>
    <row r="437" spans="1:11" ht="19.95" customHeight="1" x14ac:dyDescent="0.35">
      <c r="K437" s="61"/>
    </row>
    <row r="438" spans="1:11" ht="19.95" customHeight="1" x14ac:dyDescent="0.35">
      <c r="A438" s="1" t="s">
        <v>579</v>
      </c>
      <c r="B438" s="1"/>
      <c r="C438" s="1"/>
      <c r="D438" s="1"/>
      <c r="E438" s="1"/>
      <c r="F438" s="1"/>
      <c r="G438" s="1"/>
      <c r="H438" s="1"/>
      <c r="I438" s="1"/>
      <c r="J438" s="1"/>
      <c r="K438" s="2"/>
    </row>
    <row r="439" spans="1:11" ht="19.95" customHeight="1" x14ac:dyDescent="0.35">
      <c r="B439" s="143"/>
      <c r="C439" s="144"/>
      <c r="D439" s="37"/>
      <c r="E439" s="39"/>
      <c r="F439" s="144"/>
      <c r="G439" s="144"/>
      <c r="H439" s="41"/>
      <c r="I439" s="144"/>
      <c r="J439" s="144"/>
      <c r="K439" s="144"/>
    </row>
    <row r="440" spans="1:11" ht="19.95" customHeight="1" x14ac:dyDescent="0.35">
      <c r="A440" s="9" t="s">
        <v>1</v>
      </c>
      <c r="B440" s="42" t="s">
        <v>2</v>
      </c>
      <c r="C440" s="42" t="s">
        <v>3</v>
      </c>
      <c r="D440" s="9" t="s">
        <v>4</v>
      </c>
      <c r="E440" s="43" t="s">
        <v>5</v>
      </c>
      <c r="F440" s="42" t="s">
        <v>6</v>
      </c>
      <c r="G440" s="42" t="s">
        <v>7</v>
      </c>
      <c r="H440" s="42" t="s">
        <v>8</v>
      </c>
      <c r="I440" s="42" t="s">
        <v>9</v>
      </c>
      <c r="J440" s="42" t="s">
        <v>10</v>
      </c>
      <c r="K440" s="42" t="s">
        <v>11</v>
      </c>
    </row>
    <row r="441" spans="1:11" ht="19.95" customHeight="1" x14ac:dyDescent="0.35">
      <c r="A441" s="14"/>
      <c r="B441" s="42"/>
      <c r="C441" s="44"/>
      <c r="D441" s="14"/>
      <c r="E441" s="45"/>
      <c r="F441" s="46"/>
      <c r="G441" s="44"/>
      <c r="H441" s="44"/>
      <c r="I441" s="44"/>
      <c r="J441" s="47"/>
      <c r="K441" s="48"/>
    </row>
    <row r="442" spans="1:11" ht="31.2" x14ac:dyDescent="0.35">
      <c r="A442" s="30" t="s">
        <v>556</v>
      </c>
      <c r="B442" s="23" t="s">
        <v>13</v>
      </c>
      <c r="C442" s="23" t="s">
        <v>72</v>
      </c>
      <c r="D442" s="23" t="s">
        <v>580</v>
      </c>
      <c r="E442" s="66">
        <f>20000/1.21</f>
        <v>16528.92561983471</v>
      </c>
      <c r="F442" s="23" t="s">
        <v>72</v>
      </c>
      <c r="G442" s="26" t="s">
        <v>39</v>
      </c>
      <c r="H442" s="26" t="s">
        <v>581</v>
      </c>
      <c r="I442" s="26" t="s">
        <v>100</v>
      </c>
      <c r="J442" s="23" t="s">
        <v>14</v>
      </c>
      <c r="K442" s="23" t="s">
        <v>14</v>
      </c>
    </row>
    <row r="443" spans="1:11" ht="62.4" x14ac:dyDescent="0.35">
      <c r="A443" s="30" t="s">
        <v>78</v>
      </c>
      <c r="B443" s="23" t="s">
        <v>13</v>
      </c>
      <c r="C443" s="23" t="s">
        <v>14</v>
      </c>
      <c r="D443" s="23" t="s">
        <v>582</v>
      </c>
      <c r="E443" s="66">
        <f>163052.11/1.21</f>
        <v>134753.80991735536</v>
      </c>
      <c r="F443" s="23" t="s">
        <v>72</v>
      </c>
      <c r="G443" s="26" t="s">
        <v>39</v>
      </c>
      <c r="H443" s="23" t="s">
        <v>583</v>
      </c>
      <c r="I443" s="26" t="s">
        <v>100</v>
      </c>
      <c r="J443" s="23" t="s">
        <v>14</v>
      </c>
      <c r="K443" s="23" t="s">
        <v>14</v>
      </c>
    </row>
    <row r="444" spans="1:11" ht="31.2" x14ac:dyDescent="0.35">
      <c r="A444" s="30" t="s">
        <v>556</v>
      </c>
      <c r="B444" s="23" t="s">
        <v>13</v>
      </c>
      <c r="C444" s="23" t="s">
        <v>72</v>
      </c>
      <c r="D444" s="23" t="s">
        <v>584</v>
      </c>
      <c r="E444" s="66">
        <f>48000/1.21</f>
        <v>39669.421487603307</v>
      </c>
      <c r="F444" s="23" t="s">
        <v>14</v>
      </c>
      <c r="G444" s="26" t="s">
        <v>39</v>
      </c>
      <c r="H444" s="175" t="s">
        <v>585</v>
      </c>
      <c r="I444" s="26" t="s">
        <v>100</v>
      </c>
      <c r="J444" s="23" t="s">
        <v>14</v>
      </c>
      <c r="K444" s="23" t="s">
        <v>14</v>
      </c>
    </row>
    <row r="445" spans="1:11" ht="31.2" x14ac:dyDescent="0.35">
      <c r="A445" s="30" t="s">
        <v>556</v>
      </c>
      <c r="B445" s="23" t="s">
        <v>586</v>
      </c>
      <c r="C445" s="23" t="s">
        <v>72</v>
      </c>
      <c r="D445" s="23" t="s">
        <v>587</v>
      </c>
      <c r="E445" s="66">
        <f>(15000+30000)/1.21</f>
        <v>37190.082644628099</v>
      </c>
      <c r="F445" s="23" t="s">
        <v>72</v>
      </c>
      <c r="G445" s="26" t="s">
        <v>39</v>
      </c>
      <c r="H445" s="23">
        <v>34223300</v>
      </c>
      <c r="I445" s="26" t="s">
        <v>91</v>
      </c>
      <c r="J445" s="23" t="s">
        <v>14</v>
      </c>
      <c r="K445" s="23" t="s">
        <v>14</v>
      </c>
    </row>
    <row r="446" spans="1:11" ht="31.2" x14ac:dyDescent="0.35">
      <c r="A446" s="30" t="s">
        <v>556</v>
      </c>
      <c r="B446" s="23" t="s">
        <v>13</v>
      </c>
      <c r="C446" s="23" t="s">
        <v>72</v>
      </c>
      <c r="D446" s="23" t="s">
        <v>588</v>
      </c>
      <c r="E446" s="66">
        <f>28000/1.21</f>
        <v>23140.495867768597</v>
      </c>
      <c r="F446" s="23" t="s">
        <v>14</v>
      </c>
      <c r="G446" s="26" t="s">
        <v>39</v>
      </c>
      <c r="H446" s="26" t="s">
        <v>589</v>
      </c>
      <c r="I446" s="26" t="s">
        <v>46</v>
      </c>
      <c r="J446" s="23" t="s">
        <v>14</v>
      </c>
      <c r="K446" s="23" t="s">
        <v>14</v>
      </c>
    </row>
    <row r="447" spans="1:11" ht="62.4" x14ac:dyDescent="0.35">
      <c r="A447" s="30" t="s">
        <v>78</v>
      </c>
      <c r="B447" s="23" t="s">
        <v>20</v>
      </c>
      <c r="C447" s="23" t="s">
        <v>14</v>
      </c>
      <c r="D447" s="23" t="s">
        <v>590</v>
      </c>
      <c r="E447" s="66">
        <f>12000/1.21</f>
        <v>9917.3553719008269</v>
      </c>
      <c r="F447" s="23" t="s">
        <v>72</v>
      </c>
      <c r="G447" s="26" t="s">
        <v>39</v>
      </c>
      <c r="H447" s="26" t="s">
        <v>591</v>
      </c>
      <c r="I447" s="26" t="s">
        <v>46</v>
      </c>
      <c r="J447" s="23" t="s">
        <v>14</v>
      </c>
      <c r="K447" s="23" t="s">
        <v>14</v>
      </c>
    </row>
    <row r="448" spans="1:11" ht="46.8" x14ac:dyDescent="0.35">
      <c r="A448" s="30" t="s">
        <v>556</v>
      </c>
      <c r="B448" s="23" t="s">
        <v>13</v>
      </c>
      <c r="C448" s="23" t="s">
        <v>72</v>
      </c>
      <c r="D448" s="23" t="s">
        <v>592</v>
      </c>
      <c r="E448" s="66">
        <f>40000/1.21</f>
        <v>33057.85123966942</v>
      </c>
      <c r="F448" s="23" t="s">
        <v>72</v>
      </c>
      <c r="G448" s="26" t="s">
        <v>39</v>
      </c>
      <c r="H448" s="23" t="s">
        <v>593</v>
      </c>
      <c r="I448" s="26" t="s">
        <v>100</v>
      </c>
      <c r="J448" s="23" t="s">
        <v>14</v>
      </c>
      <c r="K448" s="23" t="s">
        <v>14</v>
      </c>
    </row>
    <row r="449" spans="1:11" ht="61.2" customHeight="1" x14ac:dyDescent="0.35">
      <c r="A449" s="30" t="s">
        <v>556</v>
      </c>
      <c r="B449" s="23" t="s">
        <v>20</v>
      </c>
      <c r="C449" s="23" t="s">
        <v>72</v>
      </c>
      <c r="D449" s="23" t="s">
        <v>594</v>
      </c>
      <c r="E449" s="66">
        <v>42000</v>
      </c>
      <c r="F449" s="23" t="s">
        <v>72</v>
      </c>
      <c r="G449" s="23" t="s">
        <v>39</v>
      </c>
      <c r="H449" s="23" t="s">
        <v>595</v>
      </c>
      <c r="I449" s="23" t="s">
        <v>120</v>
      </c>
      <c r="J449" s="23" t="s">
        <v>72</v>
      </c>
      <c r="K449" s="107" t="s">
        <v>14</v>
      </c>
    </row>
    <row r="450" spans="1:11" ht="31.2" x14ac:dyDescent="0.35">
      <c r="A450" s="30" t="s">
        <v>556</v>
      </c>
      <c r="B450" s="23" t="s">
        <v>13</v>
      </c>
      <c r="C450" s="23" t="s">
        <v>72</v>
      </c>
      <c r="D450" s="23" t="s">
        <v>596</v>
      </c>
      <c r="E450" s="66">
        <f>16000/1.21</f>
        <v>13223.140495867769</v>
      </c>
      <c r="F450" s="23" t="s">
        <v>14</v>
      </c>
      <c r="G450" s="23" t="s">
        <v>39</v>
      </c>
      <c r="H450" s="23" t="s">
        <v>597</v>
      </c>
      <c r="I450" s="23" t="s">
        <v>120</v>
      </c>
      <c r="J450" s="23" t="s">
        <v>72</v>
      </c>
      <c r="K450" s="107" t="s">
        <v>14</v>
      </c>
    </row>
    <row r="451" spans="1:11" ht="62.4" x14ac:dyDescent="0.35">
      <c r="A451" s="30" t="s">
        <v>78</v>
      </c>
      <c r="B451" s="23" t="s">
        <v>20</v>
      </c>
      <c r="C451" s="23" t="s">
        <v>14</v>
      </c>
      <c r="D451" s="23" t="s">
        <v>598</v>
      </c>
      <c r="E451" s="66">
        <f>260000/1.21</f>
        <v>214876.03305785125</v>
      </c>
      <c r="F451" s="23" t="s">
        <v>14</v>
      </c>
      <c r="G451" s="23" t="s">
        <v>39</v>
      </c>
      <c r="H451" s="23" t="s">
        <v>599</v>
      </c>
      <c r="I451" s="23" t="s">
        <v>120</v>
      </c>
      <c r="J451" s="23" t="s">
        <v>72</v>
      </c>
      <c r="K451" s="107" t="s">
        <v>14</v>
      </c>
    </row>
    <row r="452" spans="1:11" ht="31.2" x14ac:dyDescent="0.35">
      <c r="A452" s="30" t="s">
        <v>556</v>
      </c>
      <c r="B452" s="23" t="s">
        <v>20</v>
      </c>
      <c r="C452" s="23" t="s">
        <v>72</v>
      </c>
      <c r="D452" s="23" t="s">
        <v>600</v>
      </c>
      <c r="E452" s="66">
        <f>60000/1.21</f>
        <v>49586.776859504134</v>
      </c>
      <c r="F452" s="23" t="s">
        <v>72</v>
      </c>
      <c r="G452" s="23" t="s">
        <v>39</v>
      </c>
      <c r="H452" s="23">
        <v>50610000</v>
      </c>
      <c r="I452" s="107" t="s">
        <v>24</v>
      </c>
      <c r="J452" s="23" t="s">
        <v>72</v>
      </c>
      <c r="K452" s="107" t="s">
        <v>14</v>
      </c>
    </row>
    <row r="453" spans="1:11" ht="62.4" x14ac:dyDescent="0.35">
      <c r="A453" s="30" t="s">
        <v>78</v>
      </c>
      <c r="B453" s="23" t="s">
        <v>20</v>
      </c>
      <c r="C453" s="23" t="s">
        <v>14</v>
      </c>
      <c r="D453" s="23" t="s">
        <v>601</v>
      </c>
      <c r="E453" s="66">
        <f>328000/1.21</f>
        <v>271074.38016528927</v>
      </c>
      <c r="F453" s="23" t="s">
        <v>14</v>
      </c>
      <c r="G453" s="23" t="s">
        <v>39</v>
      </c>
      <c r="H453" s="23" t="s">
        <v>602</v>
      </c>
      <c r="I453" s="23" t="s">
        <v>120</v>
      </c>
      <c r="J453" s="23" t="s">
        <v>72</v>
      </c>
      <c r="K453" s="107" t="s">
        <v>14</v>
      </c>
    </row>
    <row r="454" spans="1:11" ht="62.4" x14ac:dyDescent="0.35">
      <c r="A454" s="30" t="s">
        <v>78</v>
      </c>
      <c r="B454" s="23" t="s">
        <v>20</v>
      </c>
      <c r="C454" s="23" t="s">
        <v>14</v>
      </c>
      <c r="D454" s="23" t="s">
        <v>603</v>
      </c>
      <c r="E454" s="66">
        <f>616000/1.21</f>
        <v>509090.90909090912</v>
      </c>
      <c r="F454" s="23" t="s">
        <v>14</v>
      </c>
      <c r="G454" s="23" t="s">
        <v>39</v>
      </c>
      <c r="H454" s="23" t="s">
        <v>604</v>
      </c>
      <c r="I454" s="23" t="s">
        <v>120</v>
      </c>
      <c r="J454" s="23" t="s">
        <v>72</v>
      </c>
      <c r="K454" s="107" t="s">
        <v>14</v>
      </c>
    </row>
    <row r="455" spans="1:11" ht="31.2" x14ac:dyDescent="0.35">
      <c r="A455" s="30" t="s">
        <v>556</v>
      </c>
      <c r="B455" s="23" t="s">
        <v>20</v>
      </c>
      <c r="C455" s="23" t="s">
        <v>72</v>
      </c>
      <c r="D455" s="23" t="s">
        <v>605</v>
      </c>
      <c r="E455" s="66">
        <f>48000/1.21</f>
        <v>39669.421487603307</v>
      </c>
      <c r="F455" s="23" t="s">
        <v>14</v>
      </c>
      <c r="G455" s="23" t="s">
        <v>39</v>
      </c>
      <c r="H455" s="61" t="s">
        <v>606</v>
      </c>
      <c r="I455" s="23" t="s">
        <v>120</v>
      </c>
      <c r="J455" s="23" t="s">
        <v>72</v>
      </c>
      <c r="K455" s="107" t="s">
        <v>14</v>
      </c>
    </row>
    <row r="456" spans="1:11" ht="31.2" x14ac:dyDescent="0.35">
      <c r="A456" s="30" t="s">
        <v>556</v>
      </c>
      <c r="B456" s="23" t="s">
        <v>13</v>
      </c>
      <c r="C456" s="23" t="s">
        <v>72</v>
      </c>
      <c r="D456" s="23" t="s">
        <v>607</v>
      </c>
      <c r="E456" s="66">
        <f>50000/1.21</f>
        <v>41322.314049586777</v>
      </c>
      <c r="F456" s="23" t="s">
        <v>72</v>
      </c>
      <c r="G456" s="23" t="s">
        <v>39</v>
      </c>
      <c r="H456" s="23" t="s">
        <v>608</v>
      </c>
      <c r="I456" s="23" t="s">
        <v>24</v>
      </c>
      <c r="J456" s="23" t="s">
        <v>72</v>
      </c>
      <c r="K456" s="107" t="s">
        <v>14</v>
      </c>
    </row>
    <row r="457" spans="1:11" ht="31.2" x14ac:dyDescent="0.35">
      <c r="A457" s="30" t="s">
        <v>556</v>
      </c>
      <c r="B457" s="23" t="s">
        <v>13</v>
      </c>
      <c r="C457" s="23" t="s">
        <v>72</v>
      </c>
      <c r="D457" s="23" t="s">
        <v>609</v>
      </c>
      <c r="E457" s="66">
        <f>28000/1.21</f>
        <v>23140.495867768597</v>
      </c>
      <c r="F457" s="23" t="s">
        <v>14</v>
      </c>
      <c r="G457" s="23" t="s">
        <v>39</v>
      </c>
      <c r="H457" s="23" t="s">
        <v>610</v>
      </c>
      <c r="I457" s="23" t="s">
        <v>120</v>
      </c>
      <c r="J457" s="23" t="s">
        <v>72</v>
      </c>
      <c r="K457" s="107" t="s">
        <v>14</v>
      </c>
    </row>
    <row r="458" spans="1:11" ht="62.4" x14ac:dyDescent="0.35">
      <c r="A458" s="30" t="s">
        <v>78</v>
      </c>
      <c r="B458" s="23" t="s">
        <v>13</v>
      </c>
      <c r="C458" s="23" t="s">
        <v>14</v>
      </c>
      <c r="D458" s="23" t="s">
        <v>611</v>
      </c>
      <c r="E458" s="66">
        <f>2098000/1.21</f>
        <v>1733884.2975206613</v>
      </c>
      <c r="F458" s="23" t="s">
        <v>72</v>
      </c>
      <c r="G458" s="26" t="s">
        <v>34</v>
      </c>
      <c r="H458" s="26" t="s">
        <v>612</v>
      </c>
      <c r="I458" s="26" t="s">
        <v>613</v>
      </c>
      <c r="J458" s="23" t="s">
        <v>14</v>
      </c>
      <c r="K458" s="23" t="s">
        <v>14</v>
      </c>
    </row>
    <row r="459" spans="1:11" ht="31.2" x14ac:dyDescent="0.35">
      <c r="A459" s="30" t="s">
        <v>556</v>
      </c>
      <c r="B459" s="23" t="s">
        <v>13</v>
      </c>
      <c r="C459" s="23" t="s">
        <v>72</v>
      </c>
      <c r="D459" s="23" t="s">
        <v>614</v>
      </c>
      <c r="E459" s="66">
        <f>20000/1.21</f>
        <v>16528.92561983471</v>
      </c>
      <c r="F459" s="23" t="s">
        <v>14</v>
      </c>
      <c r="G459" s="26" t="s">
        <v>34</v>
      </c>
      <c r="H459" s="26" t="s">
        <v>615</v>
      </c>
      <c r="I459" s="26" t="s">
        <v>91</v>
      </c>
      <c r="J459" s="23" t="s">
        <v>14</v>
      </c>
      <c r="K459" s="23" t="s">
        <v>14</v>
      </c>
    </row>
    <row r="460" spans="1:11" ht="31.2" x14ac:dyDescent="0.35">
      <c r="A460" s="30" t="s">
        <v>556</v>
      </c>
      <c r="B460" s="23" t="s">
        <v>13</v>
      </c>
      <c r="C460" s="23" t="s">
        <v>72</v>
      </c>
      <c r="D460" s="23" t="s">
        <v>616</v>
      </c>
      <c r="E460" s="66">
        <f>8000/1.21</f>
        <v>6611.5702479338843</v>
      </c>
      <c r="F460" s="23" t="s">
        <v>14</v>
      </c>
      <c r="G460" s="26" t="s">
        <v>34</v>
      </c>
      <c r="H460" s="26" t="s">
        <v>617</v>
      </c>
      <c r="I460" s="26" t="s">
        <v>46</v>
      </c>
      <c r="J460" s="23" t="s">
        <v>14</v>
      </c>
      <c r="K460" s="23" t="s">
        <v>14</v>
      </c>
    </row>
    <row r="461" spans="1:11" ht="31.2" x14ac:dyDescent="0.35">
      <c r="A461" s="30" t="s">
        <v>556</v>
      </c>
      <c r="B461" s="23" t="s">
        <v>13</v>
      </c>
      <c r="C461" s="23" t="s">
        <v>72</v>
      </c>
      <c r="D461" s="23" t="s">
        <v>618</v>
      </c>
      <c r="E461" s="66">
        <f>8000/1.21</f>
        <v>6611.5702479338843</v>
      </c>
      <c r="F461" s="23" t="s">
        <v>14</v>
      </c>
      <c r="G461" s="26" t="s">
        <v>34</v>
      </c>
      <c r="H461" s="23" t="s">
        <v>619</v>
      </c>
      <c r="I461" s="26" t="s">
        <v>46</v>
      </c>
      <c r="J461" s="23" t="s">
        <v>14</v>
      </c>
      <c r="K461" s="23" t="s">
        <v>14</v>
      </c>
    </row>
    <row r="462" spans="1:11" ht="31.2" x14ac:dyDescent="0.35">
      <c r="A462" s="30" t="s">
        <v>556</v>
      </c>
      <c r="B462" s="30" t="s">
        <v>20</v>
      </c>
      <c r="C462" s="30" t="s">
        <v>72</v>
      </c>
      <c r="D462" s="30" t="s">
        <v>620</v>
      </c>
      <c r="E462" s="109">
        <v>60000</v>
      </c>
      <c r="F462" s="176" t="s">
        <v>72</v>
      </c>
      <c r="G462" s="176" t="s">
        <v>34</v>
      </c>
      <c r="H462" s="176" t="s">
        <v>621</v>
      </c>
      <c r="I462" s="176" t="s">
        <v>46</v>
      </c>
      <c r="J462" s="176" t="s">
        <v>14</v>
      </c>
      <c r="K462" s="176" t="s">
        <v>14</v>
      </c>
    </row>
    <row r="463" spans="1:11" ht="31.2" x14ac:dyDescent="0.35">
      <c r="A463" s="30" t="s">
        <v>556</v>
      </c>
      <c r="B463" s="23" t="s">
        <v>20</v>
      </c>
      <c r="C463" s="23" t="s">
        <v>72</v>
      </c>
      <c r="D463" s="23" t="s">
        <v>622</v>
      </c>
      <c r="E463" s="66">
        <f>56000/1.21</f>
        <v>46280.991735537194</v>
      </c>
      <c r="F463" s="23" t="s">
        <v>14</v>
      </c>
      <c r="G463" s="23" t="s">
        <v>34</v>
      </c>
      <c r="H463" s="23" t="s">
        <v>148</v>
      </c>
      <c r="I463" s="23" t="s">
        <v>24</v>
      </c>
      <c r="J463" s="23" t="s">
        <v>72</v>
      </c>
      <c r="K463" s="107" t="s">
        <v>14</v>
      </c>
    </row>
    <row r="464" spans="1:11" x14ac:dyDescent="0.35">
      <c r="A464" s="99"/>
      <c r="B464" s="61"/>
      <c r="C464" s="61"/>
      <c r="D464" s="61"/>
      <c r="E464" s="111"/>
      <c r="F464" s="61"/>
      <c r="G464" s="61"/>
      <c r="H464" s="61"/>
      <c r="I464" s="61"/>
      <c r="J464" s="61"/>
      <c r="K464" s="117"/>
    </row>
    <row r="465" spans="1:11" x14ac:dyDescent="0.35">
      <c r="A465" s="99"/>
      <c r="B465" s="61"/>
      <c r="C465" s="61"/>
      <c r="D465" s="61"/>
      <c r="E465" s="111"/>
      <c r="F465" s="61"/>
      <c r="G465" s="61"/>
      <c r="H465" s="61"/>
      <c r="I465" s="61"/>
      <c r="J465" s="61"/>
      <c r="K465" s="117"/>
    </row>
    <row r="466" spans="1:11" x14ac:dyDescent="0.35">
      <c r="A466" s="99"/>
      <c r="B466" s="61"/>
      <c r="C466" s="61"/>
      <c r="D466" s="61"/>
      <c r="E466" s="111"/>
      <c r="F466" s="61"/>
      <c r="G466" s="61"/>
      <c r="H466" s="61"/>
      <c r="I466" s="61"/>
      <c r="J466" s="61"/>
      <c r="K466" s="117"/>
    </row>
    <row r="467" spans="1:11" x14ac:dyDescent="0.35">
      <c r="A467" s="99"/>
      <c r="B467" s="61"/>
      <c r="C467" s="61"/>
      <c r="D467" s="61"/>
      <c r="E467" s="111"/>
      <c r="F467" s="61"/>
      <c r="G467" s="61"/>
      <c r="H467" s="61"/>
      <c r="I467" s="61"/>
      <c r="J467" s="61"/>
      <c r="K467" s="117"/>
    </row>
    <row r="468" spans="1:11" x14ac:dyDescent="0.35">
      <c r="A468" s="99"/>
      <c r="B468" s="61"/>
      <c r="C468" s="61"/>
      <c r="D468" s="61"/>
      <c r="E468" s="111"/>
      <c r="F468" s="61"/>
      <c r="G468" s="61"/>
      <c r="H468" s="61"/>
      <c r="I468" s="61"/>
      <c r="J468" s="61"/>
      <c r="K468" s="117"/>
    </row>
    <row r="469" spans="1:11" x14ac:dyDescent="0.35">
      <c r="B469" s="35"/>
      <c r="C469" s="35"/>
      <c r="D469" s="61"/>
      <c r="E469" s="54"/>
      <c r="F469" s="61"/>
      <c r="G469" s="125"/>
      <c r="H469" s="177"/>
      <c r="I469" s="125"/>
      <c r="J469" s="35"/>
      <c r="K469" s="178"/>
    </row>
    <row r="470" spans="1:11" ht="19.95" customHeight="1" x14ac:dyDescent="0.35">
      <c r="A470" s="1" t="s">
        <v>623</v>
      </c>
      <c r="B470" s="1"/>
      <c r="C470" s="1"/>
      <c r="D470" s="1"/>
      <c r="E470" s="1"/>
      <c r="F470" s="1"/>
      <c r="G470" s="1"/>
      <c r="H470" s="1"/>
      <c r="I470" s="1"/>
      <c r="J470" s="1"/>
      <c r="K470" s="2"/>
    </row>
    <row r="471" spans="1:11" ht="19.95" customHeight="1" x14ac:dyDescent="0.35">
      <c r="B471" s="143"/>
      <c r="C471" s="144"/>
      <c r="D471" s="37"/>
      <c r="E471" s="39"/>
      <c r="F471" s="144"/>
      <c r="G471" s="144"/>
      <c r="H471" s="41"/>
      <c r="I471" s="144"/>
      <c r="J471" s="144"/>
      <c r="K471" s="144"/>
    </row>
    <row r="472" spans="1:11" ht="19.95" customHeight="1" x14ac:dyDescent="0.35">
      <c r="A472" s="9" t="s">
        <v>1</v>
      </c>
      <c r="B472" s="42" t="s">
        <v>2</v>
      </c>
      <c r="C472" s="42" t="s">
        <v>3</v>
      </c>
      <c r="D472" s="9" t="s">
        <v>4</v>
      </c>
      <c r="E472" s="43" t="s">
        <v>5</v>
      </c>
      <c r="F472" s="42" t="s">
        <v>6</v>
      </c>
      <c r="G472" s="42" t="s">
        <v>7</v>
      </c>
      <c r="H472" s="42" t="s">
        <v>8</v>
      </c>
      <c r="I472" s="42" t="s">
        <v>9</v>
      </c>
      <c r="J472" s="42" t="s">
        <v>10</v>
      </c>
      <c r="K472" s="42" t="s">
        <v>11</v>
      </c>
    </row>
    <row r="473" spans="1:11" ht="19.95" customHeight="1" x14ac:dyDescent="0.35">
      <c r="A473" s="14"/>
      <c r="B473" s="42"/>
      <c r="C473" s="44"/>
      <c r="D473" s="14"/>
      <c r="E473" s="45"/>
      <c r="F473" s="46"/>
      <c r="G473" s="44"/>
      <c r="H473" s="44"/>
      <c r="I473" s="44"/>
      <c r="J473" s="47"/>
      <c r="K473" s="48"/>
    </row>
    <row r="474" spans="1:11" ht="78" x14ac:dyDescent="0.35">
      <c r="A474" s="30" t="s">
        <v>556</v>
      </c>
      <c r="B474" s="173" t="s">
        <v>13</v>
      </c>
      <c r="C474" s="179" t="s">
        <v>72</v>
      </c>
      <c r="D474" s="173" t="s">
        <v>624</v>
      </c>
      <c r="E474" s="180">
        <v>35000</v>
      </c>
      <c r="F474" s="173" t="s">
        <v>19</v>
      </c>
      <c r="G474" s="173" t="s">
        <v>34</v>
      </c>
      <c r="H474" s="173" t="s">
        <v>625</v>
      </c>
      <c r="I474" s="173" t="s">
        <v>49</v>
      </c>
      <c r="J474" s="173" t="s">
        <v>14</v>
      </c>
      <c r="K474" s="173" t="s">
        <v>14</v>
      </c>
    </row>
    <row r="475" spans="1:11" ht="78" x14ac:dyDescent="0.35">
      <c r="A475" s="30" t="s">
        <v>556</v>
      </c>
      <c r="B475" s="173" t="s">
        <v>13</v>
      </c>
      <c r="C475" s="179" t="s">
        <v>72</v>
      </c>
      <c r="D475" s="173" t="s">
        <v>626</v>
      </c>
      <c r="E475" s="180">
        <v>2500</v>
      </c>
      <c r="F475" s="173" t="s">
        <v>19</v>
      </c>
      <c r="G475" s="173" t="s">
        <v>627</v>
      </c>
      <c r="H475" s="87" t="s">
        <v>628</v>
      </c>
      <c r="I475" s="173" t="s">
        <v>49</v>
      </c>
      <c r="J475" s="173" t="s">
        <v>14</v>
      </c>
      <c r="K475" s="173" t="s">
        <v>14</v>
      </c>
    </row>
    <row r="476" spans="1:11" ht="31.2" x14ac:dyDescent="0.35">
      <c r="A476" s="30" t="s">
        <v>556</v>
      </c>
      <c r="B476" s="173" t="s">
        <v>13</v>
      </c>
      <c r="C476" s="179" t="s">
        <v>72</v>
      </c>
      <c r="D476" s="173" t="s">
        <v>629</v>
      </c>
      <c r="E476" s="180">
        <v>15000</v>
      </c>
      <c r="F476" s="173" t="s">
        <v>14</v>
      </c>
      <c r="G476" s="173" t="s">
        <v>627</v>
      </c>
      <c r="H476" s="173" t="s">
        <v>630</v>
      </c>
      <c r="I476" s="173" t="s">
        <v>49</v>
      </c>
      <c r="J476" s="173" t="s">
        <v>14</v>
      </c>
      <c r="K476" s="173" t="s">
        <v>14</v>
      </c>
    </row>
    <row r="477" spans="1:11" ht="62.4" x14ac:dyDescent="0.35">
      <c r="A477" s="30" t="s">
        <v>556</v>
      </c>
      <c r="B477" s="173" t="s">
        <v>13</v>
      </c>
      <c r="C477" s="179" t="s">
        <v>72</v>
      </c>
      <c r="D477" s="173" t="s">
        <v>631</v>
      </c>
      <c r="E477" s="180">
        <v>7500</v>
      </c>
      <c r="F477" s="173" t="s">
        <v>19</v>
      </c>
      <c r="G477" s="173" t="s">
        <v>154</v>
      </c>
      <c r="H477" s="173" t="s">
        <v>632</v>
      </c>
      <c r="I477" s="173" t="s">
        <v>49</v>
      </c>
      <c r="J477" s="173" t="s">
        <v>14</v>
      </c>
      <c r="K477" s="173" t="s">
        <v>14</v>
      </c>
    </row>
    <row r="478" spans="1:11" ht="19.95" customHeight="1" x14ac:dyDescent="0.35">
      <c r="A478" s="99"/>
      <c r="B478" s="99"/>
      <c r="C478" s="97"/>
      <c r="D478" s="99"/>
      <c r="E478" s="100"/>
      <c r="F478" s="181"/>
      <c r="G478" s="97"/>
      <c r="H478" s="97"/>
      <c r="I478" s="97"/>
      <c r="J478" s="182"/>
      <c r="K478" s="183"/>
    </row>
    <row r="479" spans="1:11" ht="19.95" customHeight="1" x14ac:dyDescent="0.35">
      <c r="A479" s="99"/>
      <c r="B479" s="99"/>
      <c r="C479" s="97"/>
      <c r="D479" s="99"/>
      <c r="E479" s="100"/>
      <c r="F479" s="181"/>
      <c r="G479" s="97"/>
      <c r="H479" s="97"/>
      <c r="I479" s="97"/>
      <c r="J479" s="182"/>
      <c r="K479" s="183"/>
    </row>
    <row r="480" spans="1:11" ht="19.95" customHeight="1" x14ac:dyDescent="0.35">
      <c r="A480" s="1" t="s">
        <v>633</v>
      </c>
      <c r="B480" s="1"/>
      <c r="C480" s="1"/>
      <c r="D480" s="1"/>
      <c r="E480" s="1"/>
      <c r="F480" s="1"/>
      <c r="G480" s="1"/>
      <c r="H480" s="1"/>
      <c r="I480" s="1"/>
      <c r="J480" s="1"/>
      <c r="K480" s="2"/>
    </row>
    <row r="481" spans="1:11" ht="19.95" customHeight="1" x14ac:dyDescent="0.35">
      <c r="B481" s="143"/>
      <c r="C481" s="144"/>
      <c r="D481" s="37"/>
      <c r="E481" s="39"/>
      <c r="F481" s="144"/>
      <c r="G481" s="144"/>
      <c r="H481" s="41"/>
      <c r="I481" s="144"/>
      <c r="J481" s="144"/>
      <c r="K481" s="144"/>
    </row>
    <row r="482" spans="1:11" ht="19.95" customHeight="1" x14ac:dyDescent="0.35">
      <c r="A482" s="9" t="s">
        <v>1</v>
      </c>
      <c r="B482" s="42" t="s">
        <v>2</v>
      </c>
      <c r="C482" s="42" t="s">
        <v>3</v>
      </c>
      <c r="D482" s="9" t="s">
        <v>4</v>
      </c>
      <c r="E482" s="43" t="s">
        <v>5</v>
      </c>
      <c r="F482" s="42" t="s">
        <v>6</v>
      </c>
      <c r="G482" s="42" t="s">
        <v>7</v>
      </c>
      <c r="H482" s="42" t="s">
        <v>8</v>
      </c>
      <c r="I482" s="42" t="s">
        <v>9</v>
      </c>
      <c r="J482" s="42" t="s">
        <v>10</v>
      </c>
      <c r="K482" s="42" t="s">
        <v>11</v>
      </c>
    </row>
    <row r="483" spans="1:11" ht="19.95" customHeight="1" x14ac:dyDescent="0.35">
      <c r="A483" s="14"/>
      <c r="B483" s="42"/>
      <c r="C483" s="44"/>
      <c r="D483" s="14"/>
      <c r="E483" s="45"/>
      <c r="F483" s="46"/>
      <c r="G483" s="44"/>
      <c r="H483" s="44"/>
      <c r="I483" s="44"/>
      <c r="J483" s="47"/>
      <c r="K483" s="48"/>
    </row>
    <row r="484" spans="1:11" ht="93.6" x14ac:dyDescent="0.35">
      <c r="A484" s="30" t="s">
        <v>78</v>
      </c>
      <c r="B484" s="24" t="s">
        <v>20</v>
      </c>
      <c r="C484" s="24" t="s">
        <v>14</v>
      </c>
      <c r="D484" s="23" t="s">
        <v>634</v>
      </c>
      <c r="E484" s="154">
        <v>1620000</v>
      </c>
      <c r="F484" s="23" t="s">
        <v>14</v>
      </c>
      <c r="G484" s="26" t="s">
        <v>311</v>
      </c>
      <c r="H484" s="26" t="s">
        <v>635</v>
      </c>
      <c r="I484" s="26" t="s">
        <v>636</v>
      </c>
      <c r="J484" s="24" t="s">
        <v>72</v>
      </c>
      <c r="K484" s="24" t="s">
        <v>14</v>
      </c>
    </row>
    <row r="485" spans="1:11" ht="62.4" x14ac:dyDescent="0.35">
      <c r="A485" s="30" t="s">
        <v>78</v>
      </c>
      <c r="B485" s="24" t="s">
        <v>20</v>
      </c>
      <c r="C485" s="24" t="s">
        <v>14</v>
      </c>
      <c r="D485" s="23" t="s">
        <v>637</v>
      </c>
      <c r="E485" s="154">
        <v>60000</v>
      </c>
      <c r="F485" s="23" t="s">
        <v>72</v>
      </c>
      <c r="G485" s="27" t="s">
        <v>39</v>
      </c>
      <c r="H485" s="26" t="s">
        <v>638</v>
      </c>
      <c r="I485" s="27" t="s">
        <v>71</v>
      </c>
      <c r="J485" s="24" t="s">
        <v>108</v>
      </c>
      <c r="K485" s="24" t="s">
        <v>92</v>
      </c>
    </row>
    <row r="486" spans="1:11" ht="62.4" x14ac:dyDescent="0.35">
      <c r="A486" s="30" t="s">
        <v>78</v>
      </c>
      <c r="B486" s="24" t="s">
        <v>20</v>
      </c>
      <c r="C486" s="24" t="s">
        <v>14</v>
      </c>
      <c r="D486" s="23" t="s">
        <v>639</v>
      </c>
      <c r="E486" s="154">
        <v>40000</v>
      </c>
      <c r="F486" s="23" t="s">
        <v>72</v>
      </c>
      <c r="G486" s="27" t="s">
        <v>39</v>
      </c>
      <c r="H486" s="26" t="s">
        <v>640</v>
      </c>
      <c r="I486" s="27" t="s">
        <v>641</v>
      </c>
      <c r="J486" s="24" t="s">
        <v>108</v>
      </c>
      <c r="K486" s="24" t="s">
        <v>92</v>
      </c>
    </row>
    <row r="487" spans="1:11" ht="62.4" x14ac:dyDescent="0.35">
      <c r="A487" s="30" t="s">
        <v>642</v>
      </c>
      <c r="B487" s="24" t="s">
        <v>20</v>
      </c>
      <c r="C487" s="59" t="s">
        <v>72</v>
      </c>
      <c r="D487" s="23" t="s">
        <v>643</v>
      </c>
      <c r="E487" s="154">
        <v>9000</v>
      </c>
      <c r="F487" s="23" t="s">
        <v>543</v>
      </c>
      <c r="G487" s="27" t="s">
        <v>39</v>
      </c>
      <c r="H487" s="24" t="s">
        <v>644</v>
      </c>
      <c r="I487" s="23" t="s">
        <v>645</v>
      </c>
      <c r="J487" s="24" t="s">
        <v>219</v>
      </c>
      <c r="K487" s="24" t="s">
        <v>543</v>
      </c>
    </row>
    <row r="488" spans="1:11" ht="62.4" x14ac:dyDescent="0.35">
      <c r="A488" s="30" t="s">
        <v>78</v>
      </c>
      <c r="B488" s="23" t="s">
        <v>646</v>
      </c>
      <c r="C488" s="24" t="s">
        <v>14</v>
      </c>
      <c r="D488" s="23" t="s">
        <v>647</v>
      </c>
      <c r="E488" s="154">
        <v>30000</v>
      </c>
      <c r="F488" s="23" t="s">
        <v>14</v>
      </c>
      <c r="G488" s="27" t="s">
        <v>39</v>
      </c>
      <c r="H488" s="26" t="s">
        <v>648</v>
      </c>
      <c r="I488" s="27" t="s">
        <v>649</v>
      </c>
      <c r="J488" s="24" t="s">
        <v>72</v>
      </c>
      <c r="K488" s="24" t="s">
        <v>14</v>
      </c>
    </row>
    <row r="489" spans="1:11" ht="62.4" x14ac:dyDescent="0.35">
      <c r="A489" s="30" t="s">
        <v>78</v>
      </c>
      <c r="B489" s="23" t="s">
        <v>646</v>
      </c>
      <c r="C489" s="24" t="s">
        <v>14</v>
      </c>
      <c r="D489" s="23" t="s">
        <v>650</v>
      </c>
      <c r="E489" s="154">
        <v>4956000</v>
      </c>
      <c r="F489" s="23" t="s">
        <v>14</v>
      </c>
      <c r="G489" s="27" t="s">
        <v>39</v>
      </c>
      <c r="H489" s="26" t="s">
        <v>651</v>
      </c>
      <c r="I489" s="27" t="s">
        <v>649</v>
      </c>
      <c r="J489" s="24" t="s">
        <v>72</v>
      </c>
      <c r="K489" s="24" t="s">
        <v>14</v>
      </c>
    </row>
    <row r="490" spans="1:11" ht="62.4" x14ac:dyDescent="0.35">
      <c r="A490" s="30" t="s">
        <v>78</v>
      </c>
      <c r="B490" s="110" t="s">
        <v>646</v>
      </c>
      <c r="C490" s="112" t="s">
        <v>14</v>
      </c>
      <c r="D490" s="110" t="s">
        <v>652</v>
      </c>
      <c r="E490" s="184">
        <v>1119756.7</v>
      </c>
      <c r="F490" s="110" t="s">
        <v>14</v>
      </c>
      <c r="G490" s="113" t="s">
        <v>39</v>
      </c>
      <c r="H490" s="110" t="s">
        <v>653</v>
      </c>
      <c r="I490" s="112" t="s">
        <v>641</v>
      </c>
      <c r="J490" s="112" t="s">
        <v>72</v>
      </c>
      <c r="K490" s="112" t="s">
        <v>14</v>
      </c>
    </row>
    <row r="491" spans="1:11" x14ac:dyDescent="0.35">
      <c r="B491" s="169"/>
      <c r="C491" s="169"/>
      <c r="D491" s="170"/>
      <c r="E491" s="62"/>
      <c r="F491" s="170"/>
      <c r="G491" s="169"/>
      <c r="H491" s="169"/>
      <c r="I491" s="169"/>
      <c r="J491" s="169"/>
      <c r="K491" s="170"/>
    </row>
    <row r="492" spans="1:11" x14ac:dyDescent="0.35">
      <c r="B492" s="35"/>
      <c r="C492" s="35"/>
      <c r="D492" s="61"/>
      <c r="E492" s="54"/>
      <c r="F492" s="61"/>
      <c r="G492" s="35"/>
      <c r="H492" s="35"/>
      <c r="I492" s="35"/>
      <c r="J492" s="35"/>
      <c r="K492" s="61"/>
    </row>
    <row r="493" spans="1:11" x14ac:dyDescent="0.35">
      <c r="B493" s="35"/>
      <c r="C493" s="35"/>
      <c r="D493" s="61"/>
      <c r="E493" s="54"/>
      <c r="F493" s="61"/>
      <c r="G493" s="35"/>
      <c r="H493" s="35"/>
      <c r="I493" s="35"/>
      <c r="J493" s="35"/>
      <c r="K493" s="61"/>
    </row>
    <row r="494" spans="1:11" ht="19.95" customHeight="1" x14ac:dyDescent="0.35">
      <c r="K494" s="61"/>
    </row>
    <row r="495" spans="1:11" ht="19.95" customHeight="1" x14ac:dyDescent="0.35">
      <c r="K495" s="61"/>
    </row>
    <row r="496" spans="1:11" ht="19.95" customHeight="1" x14ac:dyDescent="0.35">
      <c r="B496" s="35"/>
      <c r="C496" s="35"/>
      <c r="D496" s="61"/>
      <c r="E496" s="54"/>
      <c r="F496" s="63"/>
      <c r="G496" s="35"/>
      <c r="H496" s="35"/>
      <c r="I496" s="35"/>
      <c r="J496" s="64"/>
      <c r="K496" s="61"/>
    </row>
    <row r="497" spans="1:25" ht="19.95" customHeight="1" x14ac:dyDescent="0.35">
      <c r="A497" s="1" t="s">
        <v>654</v>
      </c>
      <c r="B497" s="1"/>
      <c r="C497" s="1"/>
      <c r="D497" s="1"/>
      <c r="E497" s="1"/>
      <c r="F497" s="1"/>
      <c r="G497" s="1"/>
      <c r="H497" s="1"/>
      <c r="I497" s="1"/>
      <c r="J497" s="1"/>
      <c r="K497" s="2"/>
    </row>
    <row r="498" spans="1:25" ht="19.95" customHeight="1" x14ac:dyDescent="0.35">
      <c r="B498" s="143"/>
      <c r="C498" s="144"/>
      <c r="D498" s="37"/>
      <c r="E498" s="39"/>
      <c r="F498" s="144"/>
      <c r="G498" s="144"/>
      <c r="H498" s="41"/>
      <c r="I498" s="144"/>
      <c r="J498" s="144"/>
      <c r="K498" s="144"/>
    </row>
    <row r="499" spans="1:25" ht="19.95" customHeight="1" x14ac:dyDescent="0.35">
      <c r="A499" s="9" t="s">
        <v>1</v>
      </c>
      <c r="B499" s="42" t="s">
        <v>2</v>
      </c>
      <c r="C499" s="42" t="s">
        <v>3</v>
      </c>
      <c r="D499" s="9" t="s">
        <v>4</v>
      </c>
      <c r="E499" s="43" t="s">
        <v>5</v>
      </c>
      <c r="F499" s="42" t="s">
        <v>6</v>
      </c>
      <c r="G499" s="42" t="s">
        <v>7</v>
      </c>
      <c r="H499" s="42" t="s">
        <v>8</v>
      </c>
      <c r="I499" s="42" t="s">
        <v>9</v>
      </c>
      <c r="J499" s="42" t="s">
        <v>10</v>
      </c>
      <c r="K499" s="42" t="s">
        <v>11</v>
      </c>
    </row>
    <row r="500" spans="1:25" ht="19.95" customHeight="1" x14ac:dyDescent="0.35">
      <c r="A500" s="14"/>
      <c r="B500" s="42"/>
      <c r="C500" s="44"/>
      <c r="D500" s="14"/>
      <c r="E500" s="45"/>
      <c r="F500" s="46"/>
      <c r="G500" s="44"/>
      <c r="H500" s="44"/>
      <c r="I500" s="44"/>
      <c r="J500" s="47"/>
      <c r="K500" s="48"/>
    </row>
    <row r="501" spans="1:25" ht="109.2" x14ac:dyDescent="0.35">
      <c r="A501" s="30" t="s">
        <v>78</v>
      </c>
      <c r="B501" s="24" t="s">
        <v>160</v>
      </c>
      <c r="C501" s="24" t="s">
        <v>14</v>
      </c>
      <c r="D501" s="23" t="s">
        <v>655</v>
      </c>
      <c r="E501" s="184">
        <v>270000</v>
      </c>
      <c r="F501" s="23" t="s">
        <v>72</v>
      </c>
      <c r="G501" s="27" t="s">
        <v>34</v>
      </c>
      <c r="H501" s="26" t="s">
        <v>656</v>
      </c>
      <c r="I501" s="27" t="s">
        <v>18</v>
      </c>
      <c r="J501" s="24" t="s">
        <v>72</v>
      </c>
      <c r="K501" s="24" t="s">
        <v>14</v>
      </c>
    </row>
    <row r="502" spans="1:25" ht="19.95" customHeight="1" x14ac:dyDescent="0.35">
      <c r="E502" s="185"/>
      <c r="K502" s="170"/>
    </row>
    <row r="503" spans="1:25" ht="19.95" customHeight="1" x14ac:dyDescent="0.35">
      <c r="E503" s="186"/>
      <c r="K503" s="61"/>
    </row>
    <row r="504" spans="1:25" ht="19.95" customHeight="1" x14ac:dyDescent="0.35">
      <c r="E504" s="186"/>
      <c r="K504" s="61"/>
    </row>
    <row r="505" spans="1:25" ht="19.95" customHeight="1" x14ac:dyDescent="0.35">
      <c r="E505" s="186"/>
      <c r="K505" s="61"/>
    </row>
    <row r="506" spans="1:25" ht="19.95" customHeight="1" x14ac:dyDescent="0.35">
      <c r="E506" s="186"/>
      <c r="K506" s="61"/>
    </row>
    <row r="507" spans="1:25" ht="19.95" customHeight="1" x14ac:dyDescent="0.35">
      <c r="B507" s="35"/>
      <c r="C507" s="35"/>
      <c r="D507" s="61"/>
      <c r="E507" s="54"/>
      <c r="F507" s="63"/>
      <c r="G507" s="35"/>
      <c r="H507" s="35"/>
      <c r="I507" s="35"/>
      <c r="J507" s="64"/>
      <c r="K507" s="61"/>
    </row>
    <row r="508" spans="1:25" ht="19.95" customHeight="1" x14ac:dyDescent="0.35">
      <c r="A508" s="1" t="s">
        <v>657</v>
      </c>
      <c r="B508" s="1"/>
      <c r="C508" s="1"/>
      <c r="D508" s="1"/>
      <c r="E508" s="1"/>
      <c r="F508" s="1"/>
      <c r="G508" s="1"/>
      <c r="H508" s="1"/>
      <c r="I508" s="1"/>
      <c r="J508" s="1"/>
      <c r="K508" s="2"/>
    </row>
    <row r="509" spans="1:25" ht="19.95" customHeight="1" x14ac:dyDescent="0.35">
      <c r="B509" s="143"/>
      <c r="C509" s="144"/>
      <c r="D509" s="37"/>
      <c r="E509" s="39"/>
      <c r="F509" s="144"/>
      <c r="G509" s="144"/>
      <c r="H509" s="41"/>
      <c r="I509" s="144"/>
      <c r="J509" s="144"/>
      <c r="K509" s="144"/>
    </row>
    <row r="510" spans="1:25" ht="19.95" customHeight="1" x14ac:dyDescent="0.35">
      <c r="A510" s="9" t="s">
        <v>1</v>
      </c>
      <c r="B510" s="42" t="s">
        <v>2</v>
      </c>
      <c r="C510" s="42" t="s">
        <v>3</v>
      </c>
      <c r="D510" s="9" t="s">
        <v>4</v>
      </c>
      <c r="E510" s="43" t="s">
        <v>5</v>
      </c>
      <c r="F510" s="42" t="s">
        <v>6</v>
      </c>
      <c r="G510" s="42" t="s">
        <v>7</v>
      </c>
      <c r="H510" s="42" t="s">
        <v>8</v>
      </c>
      <c r="I510" s="42" t="s">
        <v>9</v>
      </c>
      <c r="J510" s="42" t="s">
        <v>10</v>
      </c>
      <c r="K510" s="42" t="s">
        <v>11</v>
      </c>
      <c r="L510" s="4"/>
      <c r="M510" s="4"/>
      <c r="N510" s="4"/>
      <c r="O510" s="4"/>
      <c r="P510" s="4"/>
      <c r="Q510" s="4"/>
      <c r="R510" s="4"/>
      <c r="S510" s="4"/>
      <c r="T510" s="4"/>
      <c r="U510" s="4"/>
      <c r="V510" s="4"/>
      <c r="W510" s="4"/>
      <c r="X510" s="4"/>
      <c r="Y510" s="4"/>
    </row>
    <row r="511" spans="1:25" ht="19.95" customHeight="1" x14ac:dyDescent="0.35">
      <c r="A511" s="14"/>
      <c r="B511" s="42"/>
      <c r="C511" s="44"/>
      <c r="D511" s="14"/>
      <c r="E511" s="45"/>
      <c r="F511" s="46"/>
      <c r="G511" s="44"/>
      <c r="H511" s="44"/>
      <c r="I511" s="44"/>
      <c r="J511" s="47"/>
      <c r="K511" s="48"/>
      <c r="L511" s="4"/>
      <c r="M511" s="4"/>
      <c r="N511" s="4"/>
      <c r="O511" s="4"/>
      <c r="P511" s="4"/>
      <c r="Q511" s="4"/>
      <c r="R511" s="4"/>
      <c r="S511" s="4"/>
      <c r="T511" s="4"/>
      <c r="U511" s="4"/>
      <c r="V511" s="4"/>
      <c r="W511" s="4"/>
      <c r="X511" s="4"/>
      <c r="Y511" s="4"/>
    </row>
    <row r="512" spans="1:25" ht="46.8" x14ac:dyDescent="0.35">
      <c r="A512" s="149" t="s">
        <v>658</v>
      </c>
      <c r="B512" s="147" t="s">
        <v>20</v>
      </c>
      <c r="C512" s="147" t="s">
        <v>14</v>
      </c>
      <c r="D512" s="187" t="s">
        <v>659</v>
      </c>
      <c r="E512" s="174">
        <f>(5*134818.12)*1.2</f>
        <v>808908.72</v>
      </c>
      <c r="F512" s="149" t="s">
        <v>72</v>
      </c>
      <c r="G512" s="147" t="s">
        <v>39</v>
      </c>
      <c r="H512" s="149" t="s">
        <v>660</v>
      </c>
      <c r="I512" s="147" t="s">
        <v>661</v>
      </c>
      <c r="J512" s="147" t="s">
        <v>72</v>
      </c>
      <c r="K512" s="147" t="s">
        <v>14</v>
      </c>
    </row>
    <row r="513" spans="1:11" ht="46.8" x14ac:dyDescent="0.35">
      <c r="A513" s="149" t="s">
        <v>658</v>
      </c>
      <c r="B513" s="147" t="s">
        <v>20</v>
      </c>
      <c r="C513" s="147" t="s">
        <v>14</v>
      </c>
      <c r="D513" s="149" t="s">
        <v>662</v>
      </c>
      <c r="E513" s="174">
        <v>1126687</v>
      </c>
      <c r="F513" s="149" t="s">
        <v>14</v>
      </c>
      <c r="G513" s="147" t="s">
        <v>39</v>
      </c>
      <c r="H513" s="147" t="s">
        <v>266</v>
      </c>
      <c r="I513" s="147" t="s">
        <v>663</v>
      </c>
      <c r="J513" s="147" t="s">
        <v>72</v>
      </c>
      <c r="K513" s="147" t="s">
        <v>14</v>
      </c>
    </row>
    <row r="514" spans="1:11" ht="93.6" x14ac:dyDescent="0.35">
      <c r="A514" s="149" t="s">
        <v>664</v>
      </c>
      <c r="B514" s="147" t="s">
        <v>20</v>
      </c>
      <c r="C514" s="147" t="s">
        <v>72</v>
      </c>
      <c r="D514" s="149" t="s">
        <v>665</v>
      </c>
      <c r="E514" s="174">
        <v>42272.73</v>
      </c>
      <c r="F514" s="149" t="s">
        <v>14</v>
      </c>
      <c r="G514" s="147" t="s">
        <v>39</v>
      </c>
      <c r="H514" s="147" t="s">
        <v>666</v>
      </c>
      <c r="I514" s="147" t="s">
        <v>667</v>
      </c>
      <c r="J514" s="147"/>
      <c r="K514" s="147" t="s">
        <v>14</v>
      </c>
    </row>
    <row r="515" spans="1:11" ht="46.8" x14ac:dyDescent="0.35">
      <c r="A515" s="149" t="s">
        <v>658</v>
      </c>
      <c r="B515" s="147" t="s">
        <v>20</v>
      </c>
      <c r="C515" s="147" t="s">
        <v>14</v>
      </c>
      <c r="D515" s="149" t="s">
        <v>668</v>
      </c>
      <c r="E515" s="174">
        <v>1369524.68</v>
      </c>
      <c r="F515" s="149" t="s">
        <v>14</v>
      </c>
      <c r="G515" s="147" t="s">
        <v>39</v>
      </c>
      <c r="H515" s="147" t="s">
        <v>578</v>
      </c>
      <c r="I515" s="147" t="s">
        <v>669</v>
      </c>
      <c r="J515" s="147" t="s">
        <v>72</v>
      </c>
      <c r="K515" s="147" t="s">
        <v>14</v>
      </c>
    </row>
    <row r="516" spans="1:11" ht="46.8" x14ac:dyDescent="0.35">
      <c r="A516" s="149" t="s">
        <v>658</v>
      </c>
      <c r="B516" s="147" t="s">
        <v>13</v>
      </c>
      <c r="C516" s="147" t="s">
        <v>14</v>
      </c>
      <c r="D516" s="149" t="s">
        <v>670</v>
      </c>
      <c r="E516" s="174">
        <f>200000/1.21</f>
        <v>165289.25619834711</v>
      </c>
      <c r="F516" s="149" t="s">
        <v>72</v>
      </c>
      <c r="G516" s="147" t="s">
        <v>39</v>
      </c>
      <c r="H516" s="147" t="s">
        <v>356</v>
      </c>
      <c r="I516" s="147" t="s">
        <v>671</v>
      </c>
      <c r="J516" s="147" t="s">
        <v>72</v>
      </c>
      <c r="K516" s="147" t="s">
        <v>14</v>
      </c>
    </row>
    <row r="517" spans="1:11" ht="46.8" x14ac:dyDescent="0.35">
      <c r="A517" s="149" t="s">
        <v>658</v>
      </c>
      <c r="B517" s="147" t="s">
        <v>13</v>
      </c>
      <c r="C517" s="59" t="s">
        <v>14</v>
      </c>
      <c r="D517" s="149" t="s">
        <v>672</v>
      </c>
      <c r="E517" s="174">
        <f>47000/1.21</f>
        <v>38842.975206611569</v>
      </c>
      <c r="F517" s="149" t="s">
        <v>72</v>
      </c>
      <c r="G517" s="147" t="s">
        <v>39</v>
      </c>
      <c r="H517" s="147" t="s">
        <v>356</v>
      </c>
      <c r="I517" s="147" t="s">
        <v>671</v>
      </c>
      <c r="J517" s="147" t="s">
        <v>72</v>
      </c>
      <c r="K517" s="147" t="s">
        <v>14</v>
      </c>
    </row>
    <row r="518" spans="1:11" ht="61.2" customHeight="1" x14ac:dyDescent="0.35">
      <c r="A518" s="149" t="s">
        <v>658</v>
      </c>
      <c r="B518" s="147" t="s">
        <v>13</v>
      </c>
      <c r="C518" s="59" t="s">
        <v>14</v>
      </c>
      <c r="D518" s="149" t="s">
        <v>673</v>
      </c>
      <c r="E518" s="174">
        <f>50000/1.21</f>
        <v>41322.314049586777</v>
      </c>
      <c r="F518" s="149" t="s">
        <v>72</v>
      </c>
      <c r="G518" s="147" t="s">
        <v>39</v>
      </c>
      <c r="H518" s="147" t="s">
        <v>356</v>
      </c>
      <c r="I518" s="147" t="s">
        <v>671</v>
      </c>
      <c r="J518" s="147" t="s">
        <v>72</v>
      </c>
      <c r="K518" s="147" t="s">
        <v>14</v>
      </c>
    </row>
    <row r="519" spans="1:11" ht="46.8" x14ac:dyDescent="0.35">
      <c r="A519" s="149" t="s">
        <v>658</v>
      </c>
      <c r="B519" s="147" t="s">
        <v>13</v>
      </c>
      <c r="C519" s="59" t="s">
        <v>14</v>
      </c>
      <c r="D519" s="149" t="s">
        <v>674</v>
      </c>
      <c r="E519" s="174">
        <f>36000/1.21</f>
        <v>29752.066115702481</v>
      </c>
      <c r="F519" s="149" t="s">
        <v>219</v>
      </c>
      <c r="G519" s="147" t="s">
        <v>39</v>
      </c>
      <c r="H519" s="147" t="s">
        <v>356</v>
      </c>
      <c r="I519" s="147" t="s">
        <v>671</v>
      </c>
      <c r="J519" s="147" t="s">
        <v>72</v>
      </c>
      <c r="K519" s="147" t="s">
        <v>14</v>
      </c>
    </row>
    <row r="520" spans="1:11" ht="46.8" x14ac:dyDescent="0.35">
      <c r="A520" s="149" t="s">
        <v>658</v>
      </c>
      <c r="B520" s="147" t="s">
        <v>13</v>
      </c>
      <c r="C520" s="59" t="s">
        <v>14</v>
      </c>
      <c r="D520" s="149" t="s">
        <v>675</v>
      </c>
      <c r="E520" s="174">
        <f>22000/1.21</f>
        <v>18181.818181818184</v>
      </c>
      <c r="F520" s="149" t="s">
        <v>72</v>
      </c>
      <c r="G520" s="147" t="s">
        <v>39</v>
      </c>
      <c r="H520" s="147" t="s">
        <v>356</v>
      </c>
      <c r="I520" s="147" t="s">
        <v>671</v>
      </c>
      <c r="J520" s="147" t="s">
        <v>72</v>
      </c>
      <c r="K520" s="147" t="s">
        <v>14</v>
      </c>
    </row>
    <row r="521" spans="1:11" ht="46.8" x14ac:dyDescent="0.35">
      <c r="A521" s="149" t="s">
        <v>658</v>
      </c>
      <c r="B521" s="147" t="s">
        <v>13</v>
      </c>
      <c r="C521" s="59" t="s">
        <v>14</v>
      </c>
      <c r="D521" s="149" t="s">
        <v>676</v>
      </c>
      <c r="E521" s="174">
        <f>25000/1.21</f>
        <v>20661.157024793389</v>
      </c>
      <c r="F521" s="149" t="s">
        <v>72</v>
      </c>
      <c r="G521" s="147" t="s">
        <v>39</v>
      </c>
      <c r="H521" s="147" t="s">
        <v>356</v>
      </c>
      <c r="I521" s="147" t="s">
        <v>671</v>
      </c>
      <c r="J521" s="147" t="s">
        <v>72</v>
      </c>
      <c r="K521" s="147" t="s">
        <v>14</v>
      </c>
    </row>
    <row r="522" spans="1:11" ht="46.8" x14ac:dyDescent="0.35">
      <c r="A522" s="149" t="s">
        <v>658</v>
      </c>
      <c r="B522" s="147" t="s">
        <v>13</v>
      </c>
      <c r="C522" s="59" t="s">
        <v>14</v>
      </c>
      <c r="D522" s="149" t="s">
        <v>677</v>
      </c>
      <c r="E522" s="174">
        <f>23000/1.21</f>
        <v>19008.264462809919</v>
      </c>
      <c r="F522" s="149" t="s">
        <v>72</v>
      </c>
      <c r="G522" s="147" t="s">
        <v>39</v>
      </c>
      <c r="H522" s="147" t="s">
        <v>356</v>
      </c>
      <c r="I522" s="147" t="s">
        <v>671</v>
      </c>
      <c r="J522" s="147" t="s">
        <v>72</v>
      </c>
      <c r="K522" s="147" t="s">
        <v>14</v>
      </c>
    </row>
    <row r="523" spans="1:11" ht="46.8" x14ac:dyDescent="0.35">
      <c r="A523" s="149" t="s">
        <v>658</v>
      </c>
      <c r="B523" s="147" t="s">
        <v>13</v>
      </c>
      <c r="C523" s="59" t="s">
        <v>14</v>
      </c>
      <c r="D523" s="149" t="s">
        <v>678</v>
      </c>
      <c r="E523" s="174">
        <f>21000/1.21</f>
        <v>17355.371900826445</v>
      </c>
      <c r="F523" s="149" t="s">
        <v>72</v>
      </c>
      <c r="G523" s="147" t="s">
        <v>39</v>
      </c>
      <c r="H523" s="147" t="s">
        <v>356</v>
      </c>
      <c r="I523" s="147" t="s">
        <v>671</v>
      </c>
      <c r="J523" s="147" t="s">
        <v>72</v>
      </c>
      <c r="K523" s="147" t="s">
        <v>14</v>
      </c>
    </row>
    <row r="524" spans="1:11" ht="46.8" x14ac:dyDescent="0.35">
      <c r="A524" s="149" t="s">
        <v>658</v>
      </c>
      <c r="B524" s="59" t="s">
        <v>20</v>
      </c>
      <c r="C524" s="147" t="s">
        <v>14</v>
      </c>
      <c r="D524" s="30" t="s">
        <v>679</v>
      </c>
      <c r="E524" s="174">
        <v>12838.56</v>
      </c>
      <c r="F524" s="149" t="s">
        <v>14</v>
      </c>
      <c r="G524" s="147" t="s">
        <v>627</v>
      </c>
      <c r="H524" s="147" t="s">
        <v>680</v>
      </c>
      <c r="I524" s="147" t="s">
        <v>669</v>
      </c>
      <c r="J524" s="147" t="s">
        <v>72</v>
      </c>
      <c r="K524" s="147" t="s">
        <v>14</v>
      </c>
    </row>
    <row r="525" spans="1:11" ht="46.8" x14ac:dyDescent="0.35">
      <c r="A525" s="149" t="s">
        <v>658</v>
      </c>
      <c r="B525" s="147" t="s">
        <v>20</v>
      </c>
      <c r="C525" s="147" t="s">
        <v>14</v>
      </c>
      <c r="D525" s="30" t="s">
        <v>681</v>
      </c>
      <c r="E525" s="174">
        <v>99411.7</v>
      </c>
      <c r="F525" s="149" t="s">
        <v>14</v>
      </c>
      <c r="G525" s="147" t="s">
        <v>34</v>
      </c>
      <c r="H525" s="147" t="s">
        <v>682</v>
      </c>
      <c r="I525" s="147" t="s">
        <v>683</v>
      </c>
      <c r="J525" s="147" t="s">
        <v>72</v>
      </c>
      <c r="K525" s="147" t="s">
        <v>14</v>
      </c>
    </row>
    <row r="526" spans="1:11" ht="93.6" x14ac:dyDescent="0.35">
      <c r="A526" s="149" t="s">
        <v>664</v>
      </c>
      <c r="B526" s="59" t="s">
        <v>13</v>
      </c>
      <c r="C526" s="147" t="s">
        <v>72</v>
      </c>
      <c r="D526" s="30" t="s">
        <v>684</v>
      </c>
      <c r="E526" s="174">
        <v>55872.34</v>
      </c>
      <c r="F526" s="149" t="s">
        <v>72</v>
      </c>
      <c r="G526" s="147" t="s">
        <v>34</v>
      </c>
      <c r="H526" s="147" t="s">
        <v>685</v>
      </c>
      <c r="I526" s="147" t="s">
        <v>686</v>
      </c>
      <c r="J526" s="147" t="s">
        <v>72</v>
      </c>
      <c r="K526" s="147" t="s">
        <v>14</v>
      </c>
    </row>
    <row r="527" spans="1:11" ht="46.8" x14ac:dyDescent="0.35">
      <c r="A527" s="149" t="s">
        <v>687</v>
      </c>
      <c r="B527" s="147" t="s">
        <v>20</v>
      </c>
      <c r="C527" s="147" t="s">
        <v>14</v>
      </c>
      <c r="D527" s="149" t="s">
        <v>688</v>
      </c>
      <c r="E527" s="174">
        <v>242852.46</v>
      </c>
      <c r="F527" s="149" t="s">
        <v>14</v>
      </c>
      <c r="G527" s="147" t="s">
        <v>154</v>
      </c>
      <c r="H527" s="147" t="s">
        <v>689</v>
      </c>
      <c r="I527" s="147" t="s">
        <v>690</v>
      </c>
      <c r="J527" s="147" t="s">
        <v>72</v>
      </c>
      <c r="K527" s="147" t="s">
        <v>14</v>
      </c>
    </row>
    <row r="528" spans="1:11" ht="46.8" x14ac:dyDescent="0.35">
      <c r="A528" s="149" t="s">
        <v>658</v>
      </c>
      <c r="B528" s="147" t="s">
        <v>13</v>
      </c>
      <c r="C528" s="147" t="s">
        <v>14</v>
      </c>
      <c r="D528" s="149" t="s">
        <v>691</v>
      </c>
      <c r="E528" s="174">
        <v>459989.33</v>
      </c>
      <c r="F528" s="149" t="s">
        <v>14</v>
      </c>
      <c r="G528" s="147" t="s">
        <v>154</v>
      </c>
      <c r="H528" s="147" t="s">
        <v>692</v>
      </c>
      <c r="I528" s="147" t="s">
        <v>671</v>
      </c>
      <c r="J528" s="147" t="s">
        <v>72</v>
      </c>
      <c r="K528" s="147" t="s">
        <v>14</v>
      </c>
    </row>
    <row r="529" spans="1:11" ht="62.4" x14ac:dyDescent="0.35">
      <c r="A529" s="149" t="s">
        <v>658</v>
      </c>
      <c r="B529" s="188" t="s">
        <v>20</v>
      </c>
      <c r="C529" s="188" t="s">
        <v>14</v>
      </c>
      <c r="D529" s="189" t="s">
        <v>693</v>
      </c>
      <c r="E529" s="190">
        <v>125449.87</v>
      </c>
      <c r="F529" s="189" t="s">
        <v>14</v>
      </c>
      <c r="G529" s="147" t="s">
        <v>240</v>
      </c>
      <c r="H529" s="188">
        <v>505323006</v>
      </c>
      <c r="I529" s="188" t="s">
        <v>671</v>
      </c>
      <c r="J529" s="188" t="s">
        <v>72</v>
      </c>
      <c r="K529" s="188" t="s">
        <v>14</v>
      </c>
    </row>
    <row r="530" spans="1:11" x14ac:dyDescent="0.35">
      <c r="B530" s="191"/>
      <c r="C530" s="191"/>
      <c r="D530" s="192"/>
      <c r="E530" s="193"/>
      <c r="F530" s="192"/>
      <c r="G530" s="191"/>
      <c r="H530" s="192"/>
      <c r="I530" s="191"/>
      <c r="J530" s="194"/>
      <c r="K530" s="170"/>
    </row>
    <row r="531" spans="1:11" ht="19.95" customHeight="1" x14ac:dyDescent="0.35">
      <c r="K531" s="61"/>
    </row>
    <row r="532" spans="1:11" ht="19.95" customHeight="1" x14ac:dyDescent="0.35">
      <c r="K532" s="61"/>
    </row>
    <row r="533" spans="1:11" ht="19.95" customHeight="1" x14ac:dyDescent="0.35">
      <c r="B533" s="35"/>
      <c r="C533" s="35"/>
      <c r="D533" s="61"/>
      <c r="E533" s="54"/>
      <c r="F533" s="63"/>
      <c r="G533" s="35"/>
      <c r="H533" s="35"/>
      <c r="I533" s="35"/>
      <c r="J533" s="64"/>
      <c r="K533" s="61"/>
    </row>
    <row r="534" spans="1:11" ht="19.95" customHeight="1" x14ac:dyDescent="0.35">
      <c r="A534" s="1" t="s">
        <v>694</v>
      </c>
      <c r="B534" s="1"/>
      <c r="C534" s="1"/>
      <c r="D534" s="1"/>
      <c r="E534" s="1"/>
      <c r="F534" s="1"/>
      <c r="G534" s="1"/>
      <c r="H534" s="1"/>
      <c r="I534" s="1"/>
      <c r="J534" s="1"/>
      <c r="K534" s="2"/>
    </row>
    <row r="535" spans="1:11" ht="19.95" customHeight="1" x14ac:dyDescent="0.35">
      <c r="B535" s="143"/>
      <c r="C535" s="144"/>
      <c r="D535" s="37"/>
      <c r="E535" s="39"/>
      <c r="F535" s="144"/>
      <c r="G535" s="144"/>
      <c r="H535" s="41"/>
      <c r="I535" s="144"/>
      <c r="J535" s="144"/>
      <c r="K535" s="144"/>
    </row>
    <row r="536" spans="1:11" ht="19.95" customHeight="1" x14ac:dyDescent="0.35">
      <c r="A536" s="9" t="s">
        <v>1</v>
      </c>
      <c r="B536" s="42" t="s">
        <v>2</v>
      </c>
      <c r="C536" s="42" t="s">
        <v>3</v>
      </c>
      <c r="D536" s="9" t="s">
        <v>4</v>
      </c>
      <c r="E536" s="43" t="s">
        <v>5</v>
      </c>
      <c r="F536" s="42" t="s">
        <v>6</v>
      </c>
      <c r="G536" s="42" t="s">
        <v>7</v>
      </c>
      <c r="H536" s="42" t="s">
        <v>8</v>
      </c>
      <c r="I536" s="42" t="s">
        <v>9</v>
      </c>
      <c r="J536" s="42" t="s">
        <v>10</v>
      </c>
      <c r="K536" s="42" t="s">
        <v>11</v>
      </c>
    </row>
    <row r="537" spans="1:11" ht="22.2" customHeight="1" x14ac:dyDescent="0.35">
      <c r="A537" s="14"/>
      <c r="B537" s="42"/>
      <c r="C537" s="44"/>
      <c r="D537" s="14"/>
      <c r="E537" s="45"/>
      <c r="F537" s="46"/>
      <c r="G537" s="44"/>
      <c r="H537" s="44"/>
      <c r="I537" s="44"/>
      <c r="J537" s="47"/>
      <c r="K537" s="48"/>
    </row>
    <row r="538" spans="1:11" ht="78" x14ac:dyDescent="0.35">
      <c r="A538" s="23" t="s">
        <v>695</v>
      </c>
      <c r="B538" s="59" t="s">
        <v>13</v>
      </c>
      <c r="C538" s="59" t="s">
        <v>14</v>
      </c>
      <c r="D538" s="106" t="s">
        <v>696</v>
      </c>
      <c r="E538" s="195">
        <v>261157.02</v>
      </c>
      <c r="F538" s="59" t="s">
        <v>14</v>
      </c>
      <c r="G538" s="156" t="s">
        <v>697</v>
      </c>
      <c r="H538" s="26" t="s">
        <v>698</v>
      </c>
      <c r="I538" s="30" t="s">
        <v>91</v>
      </c>
      <c r="J538" s="30" t="s">
        <v>14</v>
      </c>
      <c r="K538" s="196" t="s">
        <v>14</v>
      </c>
    </row>
    <row r="539" spans="1:11" ht="78" x14ac:dyDescent="0.35">
      <c r="A539" s="23" t="s">
        <v>695</v>
      </c>
      <c r="B539" s="59" t="s">
        <v>20</v>
      </c>
      <c r="C539" s="59" t="s">
        <v>14</v>
      </c>
      <c r="D539" s="95" t="s">
        <v>699</v>
      </c>
      <c r="E539" s="195">
        <v>754318.98</v>
      </c>
      <c r="F539" s="59" t="s">
        <v>14</v>
      </c>
      <c r="G539" s="197" t="s">
        <v>700</v>
      </c>
      <c r="H539" s="26" t="s">
        <v>701</v>
      </c>
      <c r="I539" s="26" t="s">
        <v>702</v>
      </c>
      <c r="J539" s="30" t="s">
        <v>14</v>
      </c>
      <c r="K539" s="198" t="s">
        <v>14</v>
      </c>
    </row>
    <row r="540" spans="1:11" ht="156" x14ac:dyDescent="0.35">
      <c r="A540" s="23" t="s">
        <v>695</v>
      </c>
      <c r="B540" s="59" t="s">
        <v>20</v>
      </c>
      <c r="C540" s="59" t="s">
        <v>14</v>
      </c>
      <c r="D540" s="23" t="s">
        <v>703</v>
      </c>
      <c r="E540" s="195">
        <v>140945.48000000001</v>
      </c>
      <c r="F540" s="59" t="s">
        <v>14</v>
      </c>
      <c r="G540" s="197" t="s">
        <v>704</v>
      </c>
      <c r="H540" s="26" t="s">
        <v>705</v>
      </c>
      <c r="I540" s="24" t="s">
        <v>182</v>
      </c>
      <c r="J540" s="30" t="s">
        <v>14</v>
      </c>
      <c r="K540" s="198" t="s">
        <v>14</v>
      </c>
    </row>
    <row r="541" spans="1:11" ht="78" x14ac:dyDescent="0.35">
      <c r="A541" s="23" t="s">
        <v>695</v>
      </c>
      <c r="B541" s="59" t="s">
        <v>20</v>
      </c>
      <c r="C541" s="59" t="s">
        <v>14</v>
      </c>
      <c r="D541" s="23" t="s">
        <v>706</v>
      </c>
      <c r="E541" s="195">
        <v>121487.61</v>
      </c>
      <c r="F541" s="59" t="s">
        <v>14</v>
      </c>
      <c r="G541" s="197" t="s">
        <v>704</v>
      </c>
      <c r="H541" s="26" t="s">
        <v>705</v>
      </c>
      <c r="I541" s="24" t="s">
        <v>91</v>
      </c>
      <c r="J541" s="30" t="s">
        <v>14</v>
      </c>
      <c r="K541" s="198" t="s">
        <v>14</v>
      </c>
    </row>
    <row r="542" spans="1:11" ht="46.8" x14ac:dyDescent="0.35">
      <c r="A542" s="23" t="s">
        <v>707</v>
      </c>
      <c r="B542" s="24" t="s">
        <v>13</v>
      </c>
      <c r="C542" s="24" t="s">
        <v>72</v>
      </c>
      <c r="D542" s="23" t="s">
        <v>708</v>
      </c>
      <c r="E542" s="195">
        <v>39080</v>
      </c>
      <c r="F542" s="23" t="s">
        <v>14</v>
      </c>
      <c r="G542" s="26" t="s">
        <v>39</v>
      </c>
      <c r="H542" s="26" t="s">
        <v>709</v>
      </c>
      <c r="I542" s="27" t="s">
        <v>24</v>
      </c>
      <c r="J542" s="24" t="s">
        <v>72</v>
      </c>
      <c r="K542" s="24" t="s">
        <v>14</v>
      </c>
    </row>
    <row r="543" spans="1:11" ht="46.8" x14ac:dyDescent="0.35">
      <c r="A543" s="23" t="s">
        <v>707</v>
      </c>
      <c r="B543" s="199" t="s">
        <v>20</v>
      </c>
      <c r="C543" s="199" t="s">
        <v>72</v>
      </c>
      <c r="D543" s="200" t="s">
        <v>710</v>
      </c>
      <c r="E543" s="195">
        <v>57780</v>
      </c>
      <c r="F543" s="201" t="s">
        <v>14</v>
      </c>
      <c r="G543" s="26" t="s">
        <v>39</v>
      </c>
      <c r="H543" s="26" t="s">
        <v>711</v>
      </c>
      <c r="I543" s="202" t="s">
        <v>91</v>
      </c>
      <c r="J543" s="199" t="s">
        <v>14</v>
      </c>
      <c r="K543" s="199" t="s">
        <v>14</v>
      </c>
    </row>
    <row r="544" spans="1:11" ht="62.4" x14ac:dyDescent="0.35">
      <c r="A544" s="23" t="s">
        <v>695</v>
      </c>
      <c r="B544" s="24" t="s">
        <v>20</v>
      </c>
      <c r="C544" s="24" t="s">
        <v>14</v>
      </c>
      <c r="D544" s="106" t="s">
        <v>710</v>
      </c>
      <c r="E544" s="195">
        <v>1154811.3</v>
      </c>
      <c r="F544" s="23" t="s">
        <v>14</v>
      </c>
      <c r="G544" s="26" t="s">
        <v>39</v>
      </c>
      <c r="H544" s="26" t="s">
        <v>711</v>
      </c>
      <c r="I544" s="26" t="s">
        <v>712</v>
      </c>
      <c r="J544" s="24" t="s">
        <v>103</v>
      </c>
      <c r="K544" s="203" t="s">
        <v>14</v>
      </c>
    </row>
    <row r="545" spans="1:11" ht="62.4" x14ac:dyDescent="0.35">
      <c r="A545" s="23" t="s">
        <v>695</v>
      </c>
      <c r="B545" s="24" t="s">
        <v>20</v>
      </c>
      <c r="C545" s="24" t="s">
        <v>14</v>
      </c>
      <c r="D545" s="106" t="s">
        <v>713</v>
      </c>
      <c r="E545" s="195">
        <v>689846.88</v>
      </c>
      <c r="F545" s="23" t="s">
        <v>14</v>
      </c>
      <c r="G545" s="26" t="s">
        <v>39</v>
      </c>
      <c r="H545" s="26" t="s">
        <v>148</v>
      </c>
      <c r="I545" s="26" t="s">
        <v>712</v>
      </c>
      <c r="J545" s="24" t="s">
        <v>72</v>
      </c>
      <c r="K545" s="199" t="s">
        <v>14</v>
      </c>
    </row>
    <row r="546" spans="1:11" ht="62.4" x14ac:dyDescent="0.35">
      <c r="A546" s="23" t="s">
        <v>695</v>
      </c>
      <c r="B546" s="24" t="s">
        <v>20</v>
      </c>
      <c r="C546" s="24" t="s">
        <v>14</v>
      </c>
      <c r="D546" s="106" t="s">
        <v>714</v>
      </c>
      <c r="E546" s="195">
        <v>277685.95</v>
      </c>
      <c r="F546" s="23" t="s">
        <v>72</v>
      </c>
      <c r="G546" s="26" t="s">
        <v>39</v>
      </c>
      <c r="H546" s="26" t="s">
        <v>715</v>
      </c>
      <c r="I546" s="26" t="s">
        <v>712</v>
      </c>
      <c r="J546" s="24" t="s">
        <v>72</v>
      </c>
      <c r="K546" s="24" t="s">
        <v>14</v>
      </c>
    </row>
    <row r="547" spans="1:11" ht="62.4" x14ac:dyDescent="0.35">
      <c r="A547" s="23" t="s">
        <v>695</v>
      </c>
      <c r="B547" s="24" t="s">
        <v>13</v>
      </c>
      <c r="C547" s="24" t="s">
        <v>14</v>
      </c>
      <c r="D547" s="106" t="s">
        <v>716</v>
      </c>
      <c r="E547" s="195">
        <v>138842.97</v>
      </c>
      <c r="F547" s="23" t="s">
        <v>72</v>
      </c>
      <c r="G547" s="26" t="s">
        <v>39</v>
      </c>
      <c r="H547" s="26" t="s">
        <v>717</v>
      </c>
      <c r="I547" s="26" t="s">
        <v>712</v>
      </c>
      <c r="J547" s="24" t="s">
        <v>72</v>
      </c>
      <c r="K547" s="24" t="s">
        <v>14</v>
      </c>
    </row>
    <row r="548" spans="1:11" ht="62.4" x14ac:dyDescent="0.35">
      <c r="A548" s="23" t="s">
        <v>707</v>
      </c>
      <c r="B548" s="24" t="s">
        <v>20</v>
      </c>
      <c r="C548" s="24" t="s">
        <v>72</v>
      </c>
      <c r="D548" s="106" t="s">
        <v>718</v>
      </c>
      <c r="E548" s="195">
        <v>6795</v>
      </c>
      <c r="F548" s="23" t="s">
        <v>14</v>
      </c>
      <c r="G548" s="26" t="s">
        <v>39</v>
      </c>
      <c r="H548" s="26" t="s">
        <v>719</v>
      </c>
      <c r="I548" s="26" t="s">
        <v>712</v>
      </c>
      <c r="J548" s="24" t="s">
        <v>72</v>
      </c>
      <c r="K548" s="199" t="s">
        <v>14</v>
      </c>
    </row>
    <row r="549" spans="1:11" ht="62.4" x14ac:dyDescent="0.35">
      <c r="A549" s="23" t="s">
        <v>695</v>
      </c>
      <c r="B549" s="24" t="s">
        <v>268</v>
      </c>
      <c r="C549" s="24" t="s">
        <v>14</v>
      </c>
      <c r="D549" s="106" t="s">
        <v>720</v>
      </c>
      <c r="E549" s="195">
        <v>247933.85</v>
      </c>
      <c r="F549" s="23" t="s">
        <v>14</v>
      </c>
      <c r="G549" s="26" t="s">
        <v>39</v>
      </c>
      <c r="H549" s="26" t="s">
        <v>721</v>
      </c>
      <c r="I549" s="26" t="s">
        <v>712</v>
      </c>
      <c r="J549" s="24" t="s">
        <v>72</v>
      </c>
      <c r="K549" s="199" t="s">
        <v>14</v>
      </c>
    </row>
    <row r="550" spans="1:11" ht="46.8" x14ac:dyDescent="0.35">
      <c r="A550" s="106" t="s">
        <v>707</v>
      </c>
      <c r="B550" s="24" t="s">
        <v>13</v>
      </c>
      <c r="C550" s="24" t="s">
        <v>72</v>
      </c>
      <c r="D550" s="106" t="s">
        <v>722</v>
      </c>
      <c r="E550" s="195">
        <v>17355.72</v>
      </c>
      <c r="F550" s="23" t="s">
        <v>72</v>
      </c>
      <c r="G550" s="26" t="s">
        <v>39</v>
      </c>
      <c r="H550" s="26" t="s">
        <v>723</v>
      </c>
      <c r="I550" s="26" t="s">
        <v>309</v>
      </c>
      <c r="J550" s="24" t="s">
        <v>14</v>
      </c>
      <c r="K550" s="24" t="s">
        <v>14</v>
      </c>
    </row>
    <row r="551" spans="1:11" ht="62.4" x14ac:dyDescent="0.35">
      <c r="A551" s="23" t="s">
        <v>707</v>
      </c>
      <c r="B551" s="24" t="s">
        <v>13</v>
      </c>
      <c r="C551" s="24" t="s">
        <v>72</v>
      </c>
      <c r="D551" s="106" t="s">
        <v>724</v>
      </c>
      <c r="E551" s="195">
        <v>2479.39</v>
      </c>
      <c r="F551" s="23" t="s">
        <v>14</v>
      </c>
      <c r="G551" s="26" t="s">
        <v>39</v>
      </c>
      <c r="H551" s="26" t="s">
        <v>725</v>
      </c>
      <c r="I551" s="26" t="s">
        <v>726</v>
      </c>
      <c r="J551" s="24" t="s">
        <v>72</v>
      </c>
      <c r="K551" s="24" t="s">
        <v>14</v>
      </c>
    </row>
    <row r="552" spans="1:11" ht="62.4" x14ac:dyDescent="0.35">
      <c r="A552" s="50" t="s">
        <v>707</v>
      </c>
      <c r="B552" s="51" t="s">
        <v>13</v>
      </c>
      <c r="C552" s="51" t="s">
        <v>72</v>
      </c>
      <c r="D552" s="204" t="s">
        <v>727</v>
      </c>
      <c r="E552" s="195">
        <v>12396.69</v>
      </c>
      <c r="F552" s="93" t="s">
        <v>14</v>
      </c>
      <c r="G552" s="205" t="s">
        <v>39</v>
      </c>
      <c r="H552" s="26" t="s">
        <v>728</v>
      </c>
      <c r="I552" s="205" t="s">
        <v>712</v>
      </c>
      <c r="J552" s="49" t="s">
        <v>14</v>
      </c>
      <c r="K552" s="206" t="s">
        <v>14</v>
      </c>
    </row>
    <row r="553" spans="1:11" ht="62.4" x14ac:dyDescent="0.35">
      <c r="A553" s="23" t="s">
        <v>729</v>
      </c>
      <c r="B553" s="24" t="s">
        <v>20</v>
      </c>
      <c r="C553" s="24" t="s">
        <v>14</v>
      </c>
      <c r="D553" s="106" t="s">
        <v>730</v>
      </c>
      <c r="E553" s="195">
        <v>1038701.88</v>
      </c>
      <c r="F553" s="23" t="s">
        <v>14</v>
      </c>
      <c r="G553" s="26" t="s">
        <v>39</v>
      </c>
      <c r="H553" s="26" t="s">
        <v>731</v>
      </c>
      <c r="I553" s="26" t="s">
        <v>712</v>
      </c>
      <c r="J553" s="24" t="s">
        <v>72</v>
      </c>
      <c r="K553" s="203" t="s">
        <v>14</v>
      </c>
    </row>
    <row r="554" spans="1:11" ht="62.4" x14ac:dyDescent="0.35">
      <c r="A554" s="23" t="s">
        <v>707</v>
      </c>
      <c r="B554" s="24" t="s">
        <v>20</v>
      </c>
      <c r="C554" s="24" t="s">
        <v>72</v>
      </c>
      <c r="D554" s="57" t="s">
        <v>732</v>
      </c>
      <c r="E554" s="195">
        <v>12500</v>
      </c>
      <c r="F554" s="23" t="s">
        <v>14</v>
      </c>
      <c r="G554" s="26" t="s">
        <v>39</v>
      </c>
      <c r="H554" s="26" t="s">
        <v>733</v>
      </c>
      <c r="I554" s="26" t="s">
        <v>712</v>
      </c>
      <c r="J554" s="24" t="s">
        <v>72</v>
      </c>
      <c r="K554" s="24" t="s">
        <v>14</v>
      </c>
    </row>
    <row r="555" spans="1:11" ht="62.4" x14ac:dyDescent="0.35">
      <c r="A555" s="23" t="s">
        <v>707</v>
      </c>
      <c r="B555" s="24" t="s">
        <v>13</v>
      </c>
      <c r="C555" s="24" t="s">
        <v>72</v>
      </c>
      <c r="D555" s="57" t="s">
        <v>734</v>
      </c>
      <c r="E555" s="195">
        <v>4774.17</v>
      </c>
      <c r="F555" s="23" t="s">
        <v>14</v>
      </c>
      <c r="G555" s="26" t="s">
        <v>39</v>
      </c>
      <c r="H555" s="26" t="s">
        <v>735</v>
      </c>
      <c r="I555" s="26" t="s">
        <v>712</v>
      </c>
      <c r="J555" s="24" t="s">
        <v>72</v>
      </c>
      <c r="K555" s="203" t="s">
        <v>14</v>
      </c>
    </row>
    <row r="556" spans="1:11" ht="46.8" x14ac:dyDescent="0.35">
      <c r="A556" s="23" t="s">
        <v>707</v>
      </c>
      <c r="B556" s="24" t="s">
        <v>94</v>
      </c>
      <c r="C556" s="24" t="s">
        <v>72</v>
      </c>
      <c r="D556" s="106" t="s">
        <v>736</v>
      </c>
      <c r="E556" s="195">
        <v>79943.8</v>
      </c>
      <c r="F556" s="23" t="s">
        <v>14</v>
      </c>
      <c r="G556" s="26" t="s">
        <v>39</v>
      </c>
      <c r="H556" s="26" t="s">
        <v>737</v>
      </c>
      <c r="I556" s="51" t="s">
        <v>91</v>
      </c>
      <c r="J556" s="24" t="s">
        <v>14</v>
      </c>
      <c r="K556" s="199" t="s">
        <v>14</v>
      </c>
    </row>
    <row r="557" spans="1:11" ht="62.4" x14ac:dyDescent="0.35">
      <c r="A557" s="23" t="s">
        <v>695</v>
      </c>
      <c r="B557" s="59" t="s">
        <v>94</v>
      </c>
      <c r="C557" s="59" t="s">
        <v>14</v>
      </c>
      <c r="D557" s="95" t="s">
        <v>738</v>
      </c>
      <c r="E557" s="195">
        <v>162164.03</v>
      </c>
      <c r="F557" s="59" t="s">
        <v>14</v>
      </c>
      <c r="G557" s="207" t="s">
        <v>39</v>
      </c>
      <c r="H557" s="26" t="s">
        <v>739</v>
      </c>
      <c r="I557" s="49" t="s">
        <v>740</v>
      </c>
      <c r="J557" s="30" t="s">
        <v>14</v>
      </c>
      <c r="K557" s="156" t="s">
        <v>14</v>
      </c>
    </row>
    <row r="558" spans="1:11" ht="62.4" x14ac:dyDescent="0.35">
      <c r="A558" s="23" t="s">
        <v>729</v>
      </c>
      <c r="B558" s="59" t="s">
        <v>741</v>
      </c>
      <c r="C558" s="59" t="s">
        <v>14</v>
      </c>
      <c r="D558" s="95" t="s">
        <v>742</v>
      </c>
      <c r="E558" s="195">
        <v>189108.71</v>
      </c>
      <c r="F558" s="59" t="s">
        <v>14</v>
      </c>
      <c r="G558" s="207" t="s">
        <v>39</v>
      </c>
      <c r="H558" s="26" t="s">
        <v>743</v>
      </c>
      <c r="I558" s="30" t="s">
        <v>740</v>
      </c>
      <c r="J558" s="30" t="s">
        <v>14</v>
      </c>
      <c r="K558" s="208" t="s">
        <v>14</v>
      </c>
    </row>
    <row r="559" spans="1:11" ht="62.4" x14ac:dyDescent="0.35">
      <c r="A559" s="23" t="s">
        <v>729</v>
      </c>
      <c r="B559" s="59" t="s">
        <v>94</v>
      </c>
      <c r="C559" s="59" t="s">
        <v>14</v>
      </c>
      <c r="D559" s="95" t="s">
        <v>744</v>
      </c>
      <c r="E559" s="195">
        <v>236209.13</v>
      </c>
      <c r="F559" s="59" t="s">
        <v>14</v>
      </c>
      <c r="G559" s="207" t="s">
        <v>39</v>
      </c>
      <c r="H559" s="26" t="s">
        <v>739</v>
      </c>
      <c r="I559" s="30" t="s">
        <v>740</v>
      </c>
      <c r="J559" s="30" t="s">
        <v>14</v>
      </c>
      <c r="K559" s="208" t="s">
        <v>14</v>
      </c>
    </row>
    <row r="560" spans="1:11" ht="62.4" x14ac:dyDescent="0.35">
      <c r="A560" s="23" t="s">
        <v>729</v>
      </c>
      <c r="B560" s="59" t="s">
        <v>94</v>
      </c>
      <c r="C560" s="59" t="s">
        <v>14</v>
      </c>
      <c r="D560" s="95" t="s">
        <v>745</v>
      </c>
      <c r="E560" s="195">
        <v>194337.62</v>
      </c>
      <c r="F560" s="59" t="s">
        <v>14</v>
      </c>
      <c r="G560" s="207" t="s">
        <v>39</v>
      </c>
      <c r="H560" s="26" t="s">
        <v>739</v>
      </c>
      <c r="I560" s="30" t="s">
        <v>740</v>
      </c>
      <c r="J560" s="30" t="s">
        <v>14</v>
      </c>
      <c r="K560" s="196" t="s">
        <v>14</v>
      </c>
    </row>
    <row r="561" spans="1:11" ht="46.8" x14ac:dyDescent="0.35">
      <c r="A561" s="23" t="s">
        <v>707</v>
      </c>
      <c r="B561" s="59" t="s">
        <v>13</v>
      </c>
      <c r="C561" s="59" t="s">
        <v>72</v>
      </c>
      <c r="D561" s="95" t="s">
        <v>746</v>
      </c>
      <c r="E561" s="195">
        <v>59495.86</v>
      </c>
      <c r="F561" s="59" t="s">
        <v>14</v>
      </c>
      <c r="G561" s="207" t="s">
        <v>39</v>
      </c>
      <c r="H561" s="26" t="s">
        <v>747</v>
      </c>
      <c r="I561" s="30" t="s">
        <v>100</v>
      </c>
      <c r="J561" s="30" t="s">
        <v>14</v>
      </c>
      <c r="K561" s="196" t="s">
        <v>14</v>
      </c>
    </row>
    <row r="562" spans="1:11" ht="62.4" x14ac:dyDescent="0.35">
      <c r="A562" s="23" t="s">
        <v>695</v>
      </c>
      <c r="B562" s="59" t="s">
        <v>13</v>
      </c>
      <c r="C562" s="59" t="s">
        <v>14</v>
      </c>
      <c r="D562" s="95" t="s">
        <v>748</v>
      </c>
      <c r="E562" s="195">
        <v>3305785.12</v>
      </c>
      <c r="F562" s="59" t="s">
        <v>72</v>
      </c>
      <c r="G562" s="207" t="s">
        <v>39</v>
      </c>
      <c r="H562" s="26" t="s">
        <v>749</v>
      </c>
      <c r="I562" s="30" t="s">
        <v>120</v>
      </c>
      <c r="J562" s="30" t="s">
        <v>14</v>
      </c>
      <c r="K562" s="196" t="s">
        <v>14</v>
      </c>
    </row>
    <row r="563" spans="1:11" ht="46.8" x14ac:dyDescent="0.35">
      <c r="A563" s="106" t="s">
        <v>707</v>
      </c>
      <c r="B563" s="59" t="s">
        <v>94</v>
      </c>
      <c r="C563" s="59" t="s">
        <v>72</v>
      </c>
      <c r="D563" s="95" t="s">
        <v>750</v>
      </c>
      <c r="E563" s="195">
        <v>79338.84</v>
      </c>
      <c r="F563" s="59" t="s">
        <v>14</v>
      </c>
      <c r="G563" s="207" t="s">
        <v>39</v>
      </c>
      <c r="H563" s="26" t="s">
        <v>751</v>
      </c>
      <c r="I563" s="24" t="s">
        <v>91</v>
      </c>
      <c r="J563" s="30" t="s">
        <v>14</v>
      </c>
      <c r="K563" s="209" t="s">
        <v>14</v>
      </c>
    </row>
    <row r="564" spans="1:11" ht="46.8" x14ac:dyDescent="0.35">
      <c r="A564" s="106" t="s">
        <v>707</v>
      </c>
      <c r="B564" s="59" t="s">
        <v>13</v>
      </c>
      <c r="C564" s="59" t="s">
        <v>72</v>
      </c>
      <c r="D564" s="95" t="s">
        <v>752</v>
      </c>
      <c r="E564" s="195">
        <v>60000</v>
      </c>
      <c r="F564" s="59" t="s">
        <v>14</v>
      </c>
      <c r="G564" s="207" t="s">
        <v>39</v>
      </c>
      <c r="H564" s="26" t="s">
        <v>753</v>
      </c>
      <c r="I564" s="24" t="s">
        <v>100</v>
      </c>
      <c r="J564" s="30" t="s">
        <v>14</v>
      </c>
      <c r="K564" s="209" t="s">
        <v>14</v>
      </c>
    </row>
    <row r="565" spans="1:11" ht="46.8" x14ac:dyDescent="0.35">
      <c r="A565" s="106" t="s">
        <v>707</v>
      </c>
      <c r="B565" s="59" t="s">
        <v>94</v>
      </c>
      <c r="C565" s="59" t="s">
        <v>72</v>
      </c>
      <c r="D565" s="95" t="s">
        <v>754</v>
      </c>
      <c r="E565" s="195">
        <v>58493.58</v>
      </c>
      <c r="F565" s="59" t="s">
        <v>14</v>
      </c>
      <c r="G565" s="207" t="s">
        <v>39</v>
      </c>
      <c r="H565" s="26" t="s">
        <v>755</v>
      </c>
      <c r="I565" s="24" t="s">
        <v>100</v>
      </c>
      <c r="J565" s="30" t="s">
        <v>14</v>
      </c>
      <c r="K565" s="210" t="s">
        <v>14</v>
      </c>
    </row>
    <row r="566" spans="1:11" ht="62.4" x14ac:dyDescent="0.35">
      <c r="A566" s="106" t="s">
        <v>707</v>
      </c>
      <c r="B566" s="59" t="s">
        <v>160</v>
      </c>
      <c r="C566" s="59" t="s">
        <v>72</v>
      </c>
      <c r="D566" s="95" t="s">
        <v>756</v>
      </c>
      <c r="E566" s="195">
        <v>20000</v>
      </c>
      <c r="F566" s="59" t="s">
        <v>14</v>
      </c>
      <c r="G566" s="207" t="s">
        <v>39</v>
      </c>
      <c r="H566" s="26" t="s">
        <v>757</v>
      </c>
      <c r="I566" s="24" t="s">
        <v>18</v>
      </c>
      <c r="J566" s="30" t="s">
        <v>14</v>
      </c>
      <c r="K566" s="198" t="s">
        <v>14</v>
      </c>
    </row>
    <row r="567" spans="1:11" ht="78" x14ac:dyDescent="0.35">
      <c r="A567" s="106" t="s">
        <v>707</v>
      </c>
      <c r="B567" s="59" t="s">
        <v>20</v>
      </c>
      <c r="C567" s="59" t="s">
        <v>72</v>
      </c>
      <c r="D567" s="23" t="s">
        <v>758</v>
      </c>
      <c r="E567" s="195">
        <v>54433.98</v>
      </c>
      <c r="F567" s="59" t="s">
        <v>14</v>
      </c>
      <c r="G567" s="207" t="s">
        <v>39</v>
      </c>
      <c r="H567" s="26" t="s">
        <v>759</v>
      </c>
      <c r="I567" s="26" t="s">
        <v>760</v>
      </c>
      <c r="J567" s="30" t="s">
        <v>14</v>
      </c>
      <c r="K567" s="198" t="s">
        <v>14</v>
      </c>
    </row>
    <row r="568" spans="1:11" ht="62.4" x14ac:dyDescent="0.35">
      <c r="A568" s="23" t="s">
        <v>707</v>
      </c>
      <c r="B568" s="24" t="s">
        <v>13</v>
      </c>
      <c r="C568" s="24" t="s">
        <v>72</v>
      </c>
      <c r="D568" s="106" t="s">
        <v>761</v>
      </c>
      <c r="E568" s="195">
        <v>27681.81</v>
      </c>
      <c r="F568" s="23" t="s">
        <v>14</v>
      </c>
      <c r="G568" s="26" t="s">
        <v>627</v>
      </c>
      <c r="H568" s="26" t="s">
        <v>762</v>
      </c>
      <c r="I568" s="26" t="s">
        <v>712</v>
      </c>
      <c r="J568" s="24" t="s">
        <v>14</v>
      </c>
      <c r="K568" s="199" t="s">
        <v>14</v>
      </c>
    </row>
    <row r="569" spans="1:11" ht="31.2" x14ac:dyDescent="0.35">
      <c r="A569" s="23" t="s">
        <v>763</v>
      </c>
      <c r="B569" s="59" t="s">
        <v>20</v>
      </c>
      <c r="C569" s="59" t="s">
        <v>14</v>
      </c>
      <c r="D569" s="95" t="s">
        <v>764</v>
      </c>
      <c r="E569" s="195">
        <v>5355000</v>
      </c>
      <c r="F569" s="59" t="s">
        <v>14</v>
      </c>
      <c r="G569" s="207" t="s">
        <v>627</v>
      </c>
      <c r="H569" s="26" t="s">
        <v>765</v>
      </c>
      <c r="I569" s="24" t="s">
        <v>187</v>
      </c>
      <c r="J569" s="30" t="s">
        <v>14</v>
      </c>
      <c r="K569" s="198" t="s">
        <v>14</v>
      </c>
    </row>
    <row r="570" spans="1:11" ht="46.8" x14ac:dyDescent="0.35">
      <c r="A570" s="106" t="s">
        <v>707</v>
      </c>
      <c r="B570" s="203" t="s">
        <v>13</v>
      </c>
      <c r="C570" s="203" t="s">
        <v>72</v>
      </c>
      <c r="D570" s="106" t="s">
        <v>708</v>
      </c>
      <c r="E570" s="195">
        <v>56630.67</v>
      </c>
      <c r="F570" s="106" t="s">
        <v>14</v>
      </c>
      <c r="G570" s="26" t="s">
        <v>154</v>
      </c>
      <c r="H570" s="26" t="s">
        <v>766</v>
      </c>
      <c r="I570" s="203" t="s">
        <v>18</v>
      </c>
      <c r="J570" s="203" t="s">
        <v>72</v>
      </c>
      <c r="K570" s="198" t="s">
        <v>14</v>
      </c>
    </row>
    <row r="571" spans="1:11" ht="78" x14ac:dyDescent="0.35">
      <c r="A571" s="23" t="s">
        <v>763</v>
      </c>
      <c r="B571" s="24" t="s">
        <v>20</v>
      </c>
      <c r="C571" s="24" t="s">
        <v>14</v>
      </c>
      <c r="D571" s="106" t="s">
        <v>767</v>
      </c>
      <c r="E571" s="195">
        <v>109129528.56</v>
      </c>
      <c r="F571" s="23" t="s">
        <v>72</v>
      </c>
      <c r="G571" s="26" t="s">
        <v>154</v>
      </c>
      <c r="H571" s="26" t="s">
        <v>768</v>
      </c>
      <c r="I571" s="26" t="s">
        <v>712</v>
      </c>
      <c r="J571" s="24" t="s">
        <v>14</v>
      </c>
      <c r="K571" s="198" t="s">
        <v>14</v>
      </c>
    </row>
    <row r="572" spans="1:11" ht="78" x14ac:dyDescent="0.35">
      <c r="A572" s="23" t="s">
        <v>695</v>
      </c>
      <c r="B572" s="59" t="s">
        <v>20</v>
      </c>
      <c r="C572" s="59" t="s">
        <v>14</v>
      </c>
      <c r="D572" s="95" t="s">
        <v>769</v>
      </c>
      <c r="E572" s="195">
        <v>70000</v>
      </c>
      <c r="F572" s="59" t="s">
        <v>14</v>
      </c>
      <c r="G572" s="207" t="s">
        <v>492</v>
      </c>
      <c r="H572" s="26" t="s">
        <v>770</v>
      </c>
      <c r="I572" s="24" t="s">
        <v>77</v>
      </c>
      <c r="J572" s="30" t="s">
        <v>14</v>
      </c>
      <c r="K572" s="203" t="s">
        <v>14</v>
      </c>
    </row>
    <row r="573" spans="1:11" ht="62.4" x14ac:dyDescent="0.35">
      <c r="A573" s="23" t="s">
        <v>695</v>
      </c>
      <c r="B573" s="59" t="s">
        <v>20</v>
      </c>
      <c r="C573" s="59" t="s">
        <v>14</v>
      </c>
      <c r="D573" s="23" t="s">
        <v>771</v>
      </c>
      <c r="E573" s="195">
        <v>50000</v>
      </c>
      <c r="F573" s="59" t="s">
        <v>14</v>
      </c>
      <c r="G573" s="207" t="s">
        <v>240</v>
      </c>
      <c r="H573" s="26" t="s">
        <v>772</v>
      </c>
      <c r="I573" s="59" t="s">
        <v>77</v>
      </c>
      <c r="J573" s="30" t="s">
        <v>14</v>
      </c>
      <c r="K573" s="203" t="s">
        <v>14</v>
      </c>
    </row>
    <row r="574" spans="1:11" ht="62.4" x14ac:dyDescent="0.35">
      <c r="A574" s="23" t="s">
        <v>695</v>
      </c>
      <c r="B574" s="59" t="s">
        <v>20</v>
      </c>
      <c r="C574" s="59" t="s">
        <v>14</v>
      </c>
      <c r="D574" s="23" t="s">
        <v>773</v>
      </c>
      <c r="E574" s="195">
        <v>260198.39999999999</v>
      </c>
      <c r="F574" s="59" t="s">
        <v>14</v>
      </c>
      <c r="G574" s="207" t="s">
        <v>240</v>
      </c>
      <c r="H574" s="26" t="s">
        <v>772</v>
      </c>
      <c r="I574" s="24" t="s">
        <v>24</v>
      </c>
      <c r="J574" s="30" t="s">
        <v>14</v>
      </c>
      <c r="K574" s="203" t="s">
        <v>14</v>
      </c>
    </row>
    <row r="575" spans="1:11" ht="62.4" x14ac:dyDescent="0.35">
      <c r="A575" s="23" t="s">
        <v>695</v>
      </c>
      <c r="B575" s="59" t="s">
        <v>20</v>
      </c>
      <c r="C575" s="59" t="s">
        <v>14</v>
      </c>
      <c r="D575" s="23" t="s">
        <v>774</v>
      </c>
      <c r="E575" s="195">
        <v>30000</v>
      </c>
      <c r="F575" s="59" t="s">
        <v>14</v>
      </c>
      <c r="G575" s="207" t="s">
        <v>240</v>
      </c>
      <c r="H575" s="26" t="s">
        <v>705</v>
      </c>
      <c r="I575" s="24" t="s">
        <v>91</v>
      </c>
      <c r="J575" s="30" t="s">
        <v>14</v>
      </c>
      <c r="K575" s="203" t="s">
        <v>14</v>
      </c>
    </row>
    <row r="576" spans="1:11" ht="62.4" x14ac:dyDescent="0.35">
      <c r="A576" s="23" t="s">
        <v>695</v>
      </c>
      <c r="B576" s="59" t="s">
        <v>20</v>
      </c>
      <c r="C576" s="59" t="s">
        <v>14</v>
      </c>
      <c r="D576" s="23" t="s">
        <v>775</v>
      </c>
      <c r="E576" s="195">
        <v>50000</v>
      </c>
      <c r="F576" s="59" t="s">
        <v>14</v>
      </c>
      <c r="G576" s="207" t="s">
        <v>240</v>
      </c>
      <c r="H576" s="26" t="s">
        <v>705</v>
      </c>
      <c r="I576" s="24" t="s">
        <v>91</v>
      </c>
      <c r="J576" s="30" t="s">
        <v>14</v>
      </c>
      <c r="K576" s="203" t="s">
        <v>14</v>
      </c>
    </row>
    <row r="577" spans="1:11" x14ac:dyDescent="0.35">
      <c r="B577" s="3"/>
      <c r="C577" s="3"/>
      <c r="D577" s="4"/>
      <c r="E577" s="167"/>
      <c r="F577" s="3"/>
      <c r="G577" s="3"/>
      <c r="H577" s="3"/>
      <c r="I577" s="3"/>
      <c r="J577" s="3"/>
      <c r="K577" s="3"/>
    </row>
    <row r="578" spans="1:11" x14ac:dyDescent="0.35">
      <c r="B578" s="3"/>
      <c r="C578" s="3"/>
      <c r="D578" s="4"/>
      <c r="E578" s="167"/>
      <c r="F578" s="3"/>
      <c r="G578" s="3"/>
      <c r="H578" s="3"/>
      <c r="I578" s="3"/>
      <c r="J578" s="3"/>
      <c r="K578" s="3"/>
    </row>
    <row r="579" spans="1:11" x14ac:dyDescent="0.35">
      <c r="B579" s="98"/>
      <c r="C579" s="98"/>
      <c r="D579" s="99"/>
      <c r="E579" s="103"/>
      <c r="F579" s="99"/>
      <c r="G579" s="211"/>
      <c r="H579" s="99"/>
      <c r="I579" s="98"/>
      <c r="J579" s="98"/>
      <c r="K579" s="98"/>
    </row>
    <row r="580" spans="1:11" ht="19.95" customHeight="1" x14ac:dyDescent="0.35">
      <c r="B580" s="35"/>
      <c r="C580" s="35"/>
      <c r="D580" s="61"/>
      <c r="E580" s="54"/>
      <c r="F580" s="63"/>
      <c r="G580" s="35"/>
      <c r="H580" s="35"/>
      <c r="I580" s="35"/>
      <c r="J580" s="64"/>
      <c r="K580" s="61"/>
    </row>
    <row r="581" spans="1:11" ht="19.95" customHeight="1" x14ac:dyDescent="0.35">
      <c r="A581" s="1" t="s">
        <v>776</v>
      </c>
      <c r="B581" s="1"/>
      <c r="C581" s="1"/>
      <c r="D581" s="1"/>
      <c r="E581" s="1"/>
      <c r="F581" s="1"/>
      <c r="G581" s="1"/>
      <c r="H581" s="1"/>
      <c r="I581" s="1"/>
      <c r="J581" s="1"/>
      <c r="K581" s="2"/>
    </row>
    <row r="582" spans="1:11" ht="19.95" customHeight="1" x14ac:dyDescent="0.35">
      <c r="B582" s="143"/>
      <c r="C582" s="144"/>
      <c r="D582" s="37"/>
      <c r="E582" s="39"/>
      <c r="F582" s="144"/>
      <c r="G582" s="144"/>
      <c r="H582" s="41"/>
      <c r="I582" s="144"/>
      <c r="J582" s="144"/>
      <c r="K582" s="144"/>
    </row>
    <row r="583" spans="1:11" ht="19.95" customHeight="1" x14ac:dyDescent="0.35">
      <c r="A583" s="9" t="s">
        <v>1</v>
      </c>
      <c r="B583" s="42" t="s">
        <v>2</v>
      </c>
      <c r="C583" s="42" t="s">
        <v>3</v>
      </c>
      <c r="D583" s="9" t="s">
        <v>4</v>
      </c>
      <c r="E583" s="43" t="s">
        <v>5</v>
      </c>
      <c r="F583" s="42" t="s">
        <v>6</v>
      </c>
      <c r="G583" s="42" t="s">
        <v>7</v>
      </c>
      <c r="H583" s="42" t="s">
        <v>8</v>
      </c>
      <c r="I583" s="42" t="s">
        <v>9</v>
      </c>
      <c r="J583" s="42" t="s">
        <v>10</v>
      </c>
      <c r="K583" s="42" t="s">
        <v>11</v>
      </c>
    </row>
    <row r="584" spans="1:11" ht="19.95" customHeight="1" x14ac:dyDescent="0.35">
      <c r="A584" s="14"/>
      <c r="B584" s="42"/>
      <c r="C584" s="44"/>
      <c r="D584" s="14"/>
      <c r="E584" s="45"/>
      <c r="F584" s="46"/>
      <c r="G584" s="44"/>
      <c r="H584" s="44"/>
      <c r="I584" s="44"/>
      <c r="J584" s="47"/>
      <c r="K584" s="48"/>
    </row>
    <row r="585" spans="1:11" ht="62.4" x14ac:dyDescent="0.35">
      <c r="A585" s="30" t="s">
        <v>777</v>
      </c>
      <c r="B585" s="59" t="s">
        <v>13</v>
      </c>
      <c r="C585" s="30" t="s">
        <v>14</v>
      </c>
      <c r="D585" s="30" t="s">
        <v>778</v>
      </c>
      <c r="E585" s="155">
        <v>123252.5</v>
      </c>
      <c r="F585" s="30" t="s">
        <v>72</v>
      </c>
      <c r="G585" s="158" t="s">
        <v>779</v>
      </c>
      <c r="H585" s="26" t="s">
        <v>780</v>
      </c>
      <c r="I585" s="27" t="s">
        <v>91</v>
      </c>
      <c r="J585" s="24" t="s">
        <v>14</v>
      </c>
      <c r="K585" s="24" t="s">
        <v>14</v>
      </c>
    </row>
    <row r="586" spans="1:11" ht="62.4" x14ac:dyDescent="0.35">
      <c r="A586" s="30" t="s">
        <v>777</v>
      </c>
      <c r="B586" s="59" t="s">
        <v>20</v>
      </c>
      <c r="C586" s="59" t="s">
        <v>14</v>
      </c>
      <c r="D586" s="30" t="s">
        <v>781</v>
      </c>
      <c r="E586" s="155">
        <v>177883.6</v>
      </c>
      <c r="F586" s="30" t="s">
        <v>72</v>
      </c>
      <c r="G586" s="158" t="s">
        <v>782</v>
      </c>
      <c r="H586" s="26" t="s">
        <v>780</v>
      </c>
      <c r="I586" s="24" t="s">
        <v>91</v>
      </c>
      <c r="J586" s="24" t="s">
        <v>14</v>
      </c>
      <c r="K586" s="24" t="s">
        <v>14</v>
      </c>
    </row>
    <row r="587" spans="1:11" ht="78" x14ac:dyDescent="0.35">
      <c r="A587" s="30" t="s">
        <v>783</v>
      </c>
      <c r="B587" s="59" t="s">
        <v>20</v>
      </c>
      <c r="C587" s="59" t="s">
        <v>72</v>
      </c>
      <c r="D587" s="30" t="s">
        <v>784</v>
      </c>
      <c r="E587" s="155">
        <v>60000</v>
      </c>
      <c r="F587" s="30" t="s">
        <v>72</v>
      </c>
      <c r="G587" s="158" t="s">
        <v>779</v>
      </c>
      <c r="H587" s="30" t="s">
        <v>785</v>
      </c>
      <c r="I587" s="59" t="s">
        <v>24</v>
      </c>
      <c r="J587" s="59" t="s">
        <v>14</v>
      </c>
      <c r="K587" s="59" t="s">
        <v>14</v>
      </c>
    </row>
    <row r="588" spans="1:11" ht="67.2" customHeight="1" x14ac:dyDescent="0.35">
      <c r="A588" s="30" t="s">
        <v>777</v>
      </c>
      <c r="B588" s="30" t="s">
        <v>13</v>
      </c>
      <c r="C588" s="59" t="s">
        <v>14</v>
      </c>
      <c r="D588" s="30" t="s">
        <v>786</v>
      </c>
      <c r="E588" s="155">
        <v>124000</v>
      </c>
      <c r="F588" s="30"/>
      <c r="G588" s="158" t="s">
        <v>782</v>
      </c>
      <c r="H588" s="30" t="s">
        <v>787</v>
      </c>
      <c r="I588" s="59" t="s">
        <v>788</v>
      </c>
      <c r="J588" s="59" t="s">
        <v>14</v>
      </c>
      <c r="K588" s="59" t="s">
        <v>14</v>
      </c>
    </row>
    <row r="589" spans="1:11" ht="113.4" customHeight="1" x14ac:dyDescent="0.35">
      <c r="A589" s="30" t="s">
        <v>783</v>
      </c>
      <c r="B589" s="59" t="s">
        <v>13</v>
      </c>
      <c r="C589" s="59" t="s">
        <v>72</v>
      </c>
      <c r="D589" s="30" t="s">
        <v>789</v>
      </c>
      <c r="E589" s="155" t="s">
        <v>790</v>
      </c>
      <c r="F589" s="30" t="s">
        <v>14</v>
      </c>
      <c r="G589" s="158" t="s">
        <v>240</v>
      </c>
      <c r="H589" s="26" t="s">
        <v>791</v>
      </c>
      <c r="I589" s="27" t="s">
        <v>792</v>
      </c>
      <c r="J589" s="24" t="s">
        <v>14</v>
      </c>
      <c r="K589" s="24" t="s">
        <v>14</v>
      </c>
    </row>
    <row r="590" spans="1:11" ht="62.4" x14ac:dyDescent="0.35">
      <c r="A590" s="30" t="s">
        <v>777</v>
      </c>
      <c r="B590" s="59" t="s">
        <v>20</v>
      </c>
      <c r="C590" s="59" t="s">
        <v>14</v>
      </c>
      <c r="D590" s="59" t="s">
        <v>793</v>
      </c>
      <c r="E590" s="155">
        <v>95903</v>
      </c>
      <c r="F590" s="30" t="s">
        <v>72</v>
      </c>
      <c r="G590" s="158" t="s">
        <v>240</v>
      </c>
      <c r="H590" s="30" t="s">
        <v>794</v>
      </c>
      <c r="I590" s="24" t="s">
        <v>91</v>
      </c>
      <c r="J590" s="59" t="s">
        <v>14</v>
      </c>
      <c r="K590" s="59" t="s">
        <v>14</v>
      </c>
    </row>
    <row r="591" spans="1:11" ht="62.4" x14ac:dyDescent="0.35">
      <c r="A591" s="30" t="s">
        <v>777</v>
      </c>
      <c r="B591" s="59" t="s">
        <v>20</v>
      </c>
      <c r="C591" s="59" t="s">
        <v>14</v>
      </c>
      <c r="D591" s="59" t="s">
        <v>795</v>
      </c>
      <c r="E591" s="155">
        <v>266200</v>
      </c>
      <c r="F591" s="30" t="s">
        <v>72</v>
      </c>
      <c r="G591" s="158" t="s">
        <v>240</v>
      </c>
      <c r="H591" s="30" t="s">
        <v>796</v>
      </c>
      <c r="I591" s="59" t="s">
        <v>91</v>
      </c>
      <c r="J591" s="59" t="s">
        <v>14</v>
      </c>
      <c r="K591" s="59" t="s">
        <v>14</v>
      </c>
    </row>
    <row r="592" spans="1:11" ht="62.4" x14ac:dyDescent="0.35">
      <c r="A592" s="30" t="s">
        <v>777</v>
      </c>
      <c r="B592" s="59" t="s">
        <v>160</v>
      </c>
      <c r="C592" s="59" t="s">
        <v>14</v>
      </c>
      <c r="D592" s="30" t="s">
        <v>797</v>
      </c>
      <c r="E592" s="155">
        <v>61983.47</v>
      </c>
      <c r="F592" s="30"/>
      <c r="G592" s="158" t="s">
        <v>240</v>
      </c>
      <c r="H592" s="30" t="s">
        <v>798</v>
      </c>
      <c r="I592" s="59" t="s">
        <v>799</v>
      </c>
      <c r="J592" s="59" t="s">
        <v>14</v>
      </c>
      <c r="K592" s="59" t="s">
        <v>14</v>
      </c>
    </row>
    <row r="593" spans="1:11" ht="62.4" x14ac:dyDescent="0.35">
      <c r="A593" s="30" t="s">
        <v>777</v>
      </c>
      <c r="B593" s="59" t="s">
        <v>800</v>
      </c>
      <c r="C593" s="59" t="s">
        <v>14</v>
      </c>
      <c r="D593" s="30" t="s">
        <v>801</v>
      </c>
      <c r="E593" s="155">
        <v>23002.3</v>
      </c>
      <c r="F593" s="30"/>
      <c r="G593" s="158" t="s">
        <v>240</v>
      </c>
      <c r="H593" s="30" t="s">
        <v>798</v>
      </c>
      <c r="I593" s="59" t="s">
        <v>802</v>
      </c>
      <c r="J593" s="59" t="s">
        <v>14</v>
      </c>
      <c r="K593" s="59" t="s">
        <v>14</v>
      </c>
    </row>
    <row r="594" spans="1:11" ht="15" customHeight="1" x14ac:dyDescent="0.35">
      <c r="B594" s="35"/>
      <c r="C594" s="35"/>
      <c r="D594" s="61"/>
      <c r="E594" s="54"/>
      <c r="F594" s="61"/>
      <c r="G594" s="212"/>
      <c r="H594" s="177"/>
      <c r="I594" s="35"/>
      <c r="J594" s="35"/>
      <c r="K594" s="61"/>
    </row>
    <row r="595" spans="1:11" ht="15" customHeight="1" x14ac:dyDescent="0.35">
      <c r="B595" s="35"/>
      <c r="C595" s="35"/>
      <c r="D595" s="61"/>
      <c r="E595" s="54"/>
      <c r="F595" s="61"/>
      <c r="G595" s="212"/>
      <c r="H595" s="177"/>
      <c r="I595" s="35"/>
      <c r="J595" s="35"/>
      <c r="K595" s="61"/>
    </row>
    <row r="596" spans="1:11" ht="15" customHeight="1" x14ac:dyDescent="0.35">
      <c r="B596" s="35"/>
      <c r="C596" s="35"/>
      <c r="D596" s="61"/>
      <c r="E596" s="54"/>
      <c r="F596" s="61"/>
      <c r="G596" s="212"/>
      <c r="H596" s="177"/>
      <c r="I596" s="35"/>
      <c r="J596" s="35"/>
      <c r="K596" s="61"/>
    </row>
    <row r="597" spans="1:11" x14ac:dyDescent="0.35">
      <c r="B597" s="35"/>
      <c r="C597" s="35"/>
      <c r="D597" s="61"/>
      <c r="E597" s="54"/>
      <c r="F597" s="61"/>
      <c r="G597" s="212"/>
      <c r="H597" s="177"/>
      <c r="I597" s="35"/>
      <c r="J597" s="35"/>
      <c r="K597" s="61"/>
    </row>
    <row r="598" spans="1:11" ht="15" customHeight="1" x14ac:dyDescent="0.35">
      <c r="B598" s="35"/>
      <c r="C598" s="35"/>
      <c r="D598" s="61"/>
      <c r="E598" s="54"/>
      <c r="F598" s="61"/>
      <c r="G598" s="212"/>
      <c r="H598" s="177"/>
      <c r="I598" s="35"/>
      <c r="J598" s="35"/>
      <c r="K598" s="61"/>
    </row>
    <row r="599" spans="1:11" ht="15" customHeight="1" x14ac:dyDescent="0.35">
      <c r="B599" s="35"/>
      <c r="C599" s="35"/>
      <c r="D599" s="61"/>
      <c r="E599" s="54"/>
      <c r="F599" s="61"/>
      <c r="G599" s="212"/>
      <c r="H599" s="177"/>
      <c r="I599" s="35"/>
      <c r="J599" s="35"/>
      <c r="K599" s="61"/>
    </row>
    <row r="600" spans="1:11" ht="15" customHeight="1" x14ac:dyDescent="0.35">
      <c r="B600" s="35"/>
      <c r="C600" s="35"/>
      <c r="D600" s="61"/>
      <c r="E600" s="54"/>
      <c r="F600" s="61"/>
      <c r="G600" s="212"/>
      <c r="H600" s="177"/>
      <c r="I600" s="35"/>
      <c r="J600" s="35"/>
      <c r="K600" s="61"/>
    </row>
    <row r="601" spans="1:11" ht="19.95" customHeight="1" x14ac:dyDescent="0.35"/>
    <row r="602" spans="1:11" ht="19.95" customHeight="1" x14ac:dyDescent="0.35"/>
    <row r="603" spans="1:11" ht="19.95" customHeight="1" x14ac:dyDescent="0.35"/>
    <row r="604" spans="1:11" ht="19.95" customHeight="1" x14ac:dyDescent="0.35"/>
    <row r="605" spans="1:11" ht="19.95" customHeight="1" x14ac:dyDescent="0.35"/>
    <row r="606" spans="1:11" ht="19.95" customHeight="1" x14ac:dyDescent="0.35"/>
    <row r="607" spans="1:11" ht="19.95" customHeight="1" x14ac:dyDescent="0.35"/>
    <row r="608" spans="1:11" ht="19.95" customHeight="1" x14ac:dyDescent="0.35"/>
    <row r="609" ht="19.95" customHeight="1" x14ac:dyDescent="0.35"/>
    <row r="610" ht="19.95" customHeight="1" x14ac:dyDescent="0.35"/>
    <row r="611" ht="19.95" customHeight="1" x14ac:dyDescent="0.35"/>
    <row r="612" ht="19.95" customHeight="1" x14ac:dyDescent="0.35"/>
    <row r="614" ht="19.95" customHeight="1" x14ac:dyDescent="0.35"/>
    <row r="615" ht="19.95" customHeight="1" x14ac:dyDescent="0.35"/>
    <row r="616" ht="19.95" customHeight="1" x14ac:dyDescent="0.35"/>
    <row r="617" ht="19.95" customHeight="1" x14ac:dyDescent="0.35"/>
    <row r="618" ht="19.95" customHeight="1" x14ac:dyDescent="0.35"/>
    <row r="619" ht="19.95" customHeight="1" x14ac:dyDescent="0.35"/>
    <row r="620" ht="19.95" customHeight="1" x14ac:dyDescent="0.35"/>
    <row r="621" ht="19.95" customHeight="1" x14ac:dyDescent="0.35"/>
    <row r="622" ht="19.95" customHeight="1" x14ac:dyDescent="0.35"/>
    <row r="623" ht="19.95" customHeight="1" x14ac:dyDescent="0.35"/>
    <row r="624" ht="19.95" customHeight="1" x14ac:dyDescent="0.35"/>
    <row r="625" ht="19.95" customHeight="1" x14ac:dyDescent="0.35"/>
    <row r="626" ht="19.95" customHeight="1" x14ac:dyDescent="0.35"/>
    <row r="627" ht="19.95" customHeight="1" x14ac:dyDescent="0.35"/>
    <row r="628" ht="19.95" customHeight="1" x14ac:dyDescent="0.35"/>
    <row r="629" ht="19.95" customHeight="1" x14ac:dyDescent="0.35"/>
    <row r="630" ht="19.95" customHeight="1" x14ac:dyDescent="0.35"/>
    <row r="631" ht="19.95" customHeight="1" x14ac:dyDescent="0.35"/>
    <row r="632" ht="19.95" customHeight="1" x14ac:dyDescent="0.35"/>
    <row r="633" ht="19.95" customHeight="1" x14ac:dyDescent="0.35"/>
    <row r="634" ht="19.95" customHeight="1" x14ac:dyDescent="0.35"/>
    <row r="635" ht="19.95" customHeight="1" x14ac:dyDescent="0.35"/>
    <row r="636" ht="19.95" customHeight="1" x14ac:dyDescent="0.35"/>
    <row r="637" ht="19.95" customHeight="1" x14ac:dyDescent="0.35"/>
    <row r="638" ht="19.95" customHeight="1" x14ac:dyDescent="0.35"/>
    <row r="639" ht="19.95" customHeight="1" x14ac:dyDescent="0.35"/>
    <row r="640" ht="19.95" customHeight="1" x14ac:dyDescent="0.35"/>
    <row r="641" ht="19.95" customHeight="1" x14ac:dyDescent="0.35"/>
    <row r="642" ht="19.95" customHeight="1" x14ac:dyDescent="0.35"/>
    <row r="643" ht="19.95" customHeight="1" x14ac:dyDescent="0.35"/>
    <row r="644" ht="19.95" customHeight="1" x14ac:dyDescent="0.35"/>
    <row r="645" ht="19.95" customHeight="1" x14ac:dyDescent="0.35"/>
    <row r="646" ht="19.95" customHeight="1" x14ac:dyDescent="0.35"/>
    <row r="647" ht="19.95" customHeight="1" x14ac:dyDescent="0.35"/>
    <row r="648" ht="19.95" customHeight="1" x14ac:dyDescent="0.35"/>
    <row r="649" ht="19.95" customHeight="1" x14ac:dyDescent="0.35"/>
    <row r="650" ht="19.95" customHeight="1" x14ac:dyDescent="0.35"/>
    <row r="651" ht="19.95" customHeight="1" x14ac:dyDescent="0.35"/>
    <row r="652" ht="19.95" customHeight="1" x14ac:dyDescent="0.35"/>
    <row r="653" ht="19.95" customHeight="1" x14ac:dyDescent="0.35"/>
    <row r="654" ht="19.95" customHeight="1" x14ac:dyDescent="0.35"/>
    <row r="655" ht="19.95" customHeight="1" x14ac:dyDescent="0.35"/>
    <row r="656" ht="19.95" customHeight="1" x14ac:dyDescent="0.35"/>
    <row r="657" ht="19.95" customHeight="1" x14ac:dyDescent="0.35"/>
    <row r="658" ht="19.95" customHeight="1" x14ac:dyDescent="0.35"/>
    <row r="659" ht="19.95" customHeight="1" x14ac:dyDescent="0.35"/>
    <row r="660" ht="19.95" customHeight="1" x14ac:dyDescent="0.35"/>
    <row r="661" ht="19.95" customHeight="1" x14ac:dyDescent="0.35"/>
    <row r="662" ht="19.95" customHeight="1" x14ac:dyDescent="0.35"/>
    <row r="663" ht="19.95" customHeight="1" x14ac:dyDescent="0.35"/>
    <row r="664" ht="19.95" customHeight="1" x14ac:dyDescent="0.35"/>
    <row r="665" ht="19.95" customHeight="1" x14ac:dyDescent="0.35"/>
    <row r="666" ht="19.95" customHeight="1" x14ac:dyDescent="0.35"/>
    <row r="667" ht="19.95" customHeight="1" x14ac:dyDescent="0.35"/>
    <row r="668" ht="19.95" customHeight="1" x14ac:dyDescent="0.35"/>
    <row r="669" ht="19.95" customHeight="1" x14ac:dyDescent="0.35"/>
    <row r="670" ht="19.95" customHeight="1" x14ac:dyDescent="0.35"/>
    <row r="671" ht="19.95" customHeight="1" x14ac:dyDescent="0.35"/>
    <row r="672" ht="19.95" customHeight="1" x14ac:dyDescent="0.35"/>
    <row r="673" ht="19.95" customHeight="1" x14ac:dyDescent="0.35"/>
    <row r="674" ht="19.95" customHeight="1" x14ac:dyDescent="0.35"/>
    <row r="675" ht="19.95" customHeight="1" x14ac:dyDescent="0.35"/>
    <row r="676" ht="19.95" customHeight="1" x14ac:dyDescent="0.35"/>
    <row r="677" ht="19.95" customHeight="1" x14ac:dyDescent="0.35"/>
    <row r="678" ht="19.95" customHeight="1" x14ac:dyDescent="0.35"/>
    <row r="679" ht="19.95" customHeight="1" x14ac:dyDescent="0.35"/>
    <row r="680" ht="19.95" customHeight="1" x14ac:dyDescent="0.35"/>
    <row r="681" ht="19.95" customHeight="1" x14ac:dyDescent="0.35"/>
    <row r="682" ht="19.95" customHeight="1" x14ac:dyDescent="0.35"/>
    <row r="683" ht="19.95" customHeight="1" x14ac:dyDescent="0.35"/>
    <row r="684" ht="19.95" customHeight="1" x14ac:dyDescent="0.35"/>
    <row r="685" ht="19.95" customHeight="1" x14ac:dyDescent="0.35"/>
    <row r="686" ht="19.95" customHeight="1" x14ac:dyDescent="0.35"/>
    <row r="687" ht="19.95" customHeight="1" x14ac:dyDescent="0.35"/>
    <row r="688" ht="19.95" customHeight="1" x14ac:dyDescent="0.35"/>
    <row r="689" ht="19.95" customHeight="1" x14ac:dyDescent="0.35"/>
    <row r="690" ht="19.95" customHeight="1" x14ac:dyDescent="0.35"/>
    <row r="691" ht="19.95" customHeight="1" x14ac:dyDescent="0.35"/>
    <row r="692" ht="19.95" customHeight="1" x14ac:dyDescent="0.35"/>
    <row r="693" ht="19.95" customHeight="1" x14ac:dyDescent="0.35"/>
    <row r="694" ht="19.95" customHeight="1" x14ac:dyDescent="0.35"/>
    <row r="695" ht="19.95" customHeight="1" x14ac:dyDescent="0.35"/>
    <row r="696" ht="19.95" customHeight="1" x14ac:dyDescent="0.35"/>
    <row r="697" ht="19.95" customHeight="1" x14ac:dyDescent="0.35"/>
    <row r="698" ht="19.95" customHeight="1" x14ac:dyDescent="0.35"/>
    <row r="699" ht="19.95" customHeight="1" x14ac:dyDescent="0.35"/>
    <row r="700" ht="19.95" customHeight="1" x14ac:dyDescent="0.35"/>
    <row r="701" ht="19.95" customHeight="1" x14ac:dyDescent="0.35"/>
    <row r="702" ht="19.95" customHeight="1" x14ac:dyDescent="0.35"/>
    <row r="703" ht="19.95" customHeight="1" x14ac:dyDescent="0.35"/>
    <row r="704" ht="19.95" customHeight="1" x14ac:dyDescent="0.35"/>
    <row r="705" ht="19.95" customHeight="1" x14ac:dyDescent="0.35"/>
    <row r="706" ht="19.95" customHeight="1" x14ac:dyDescent="0.35"/>
    <row r="707" ht="19.95" customHeight="1" x14ac:dyDescent="0.35"/>
    <row r="708" ht="19.95" customHeight="1" x14ac:dyDescent="0.35"/>
    <row r="709" ht="19.95" customHeight="1" x14ac:dyDescent="0.35"/>
    <row r="710" ht="19.95" customHeight="1" x14ac:dyDescent="0.35"/>
    <row r="711" ht="19.95" customHeight="1" x14ac:dyDescent="0.35"/>
    <row r="712" ht="19.95" customHeight="1" x14ac:dyDescent="0.35"/>
    <row r="713" ht="19.95" customHeight="1" x14ac:dyDescent="0.35"/>
    <row r="714" ht="19.95" customHeight="1" x14ac:dyDescent="0.35"/>
    <row r="715" ht="19.95" customHeight="1" x14ac:dyDescent="0.35"/>
    <row r="716" ht="19.95" customHeight="1" x14ac:dyDescent="0.35"/>
    <row r="717" ht="19.95" customHeight="1" x14ac:dyDescent="0.35"/>
    <row r="718" ht="19.95" customHeight="1" x14ac:dyDescent="0.35"/>
    <row r="719" ht="19.95" customHeight="1" x14ac:dyDescent="0.35"/>
    <row r="720" ht="19.95" customHeight="1" x14ac:dyDescent="0.35"/>
    <row r="721" ht="19.95" customHeight="1" x14ac:dyDescent="0.35"/>
    <row r="722" ht="19.95" customHeight="1" x14ac:dyDescent="0.35"/>
    <row r="723" ht="19.95" customHeight="1" x14ac:dyDescent="0.35"/>
    <row r="724" ht="19.95" customHeight="1" x14ac:dyDescent="0.35"/>
    <row r="725" ht="19.95" customHeight="1" x14ac:dyDescent="0.35"/>
    <row r="726" ht="19.95" customHeight="1" x14ac:dyDescent="0.35"/>
    <row r="727" ht="19.95" customHeight="1" x14ac:dyDescent="0.35"/>
    <row r="728" ht="19.95" customHeight="1" x14ac:dyDescent="0.35"/>
    <row r="729" ht="19.95" customHeight="1" x14ac:dyDescent="0.35"/>
    <row r="730" ht="19.95" customHeight="1" x14ac:dyDescent="0.35"/>
    <row r="731" ht="19.95" customHeight="1" x14ac:dyDescent="0.35"/>
    <row r="732" ht="19.95" customHeight="1" x14ac:dyDescent="0.35"/>
    <row r="733" ht="19.95" customHeight="1" x14ac:dyDescent="0.35"/>
    <row r="734" ht="19.95" customHeight="1" x14ac:dyDescent="0.35"/>
    <row r="735" ht="19.95" customHeight="1" x14ac:dyDescent="0.35"/>
    <row r="736" ht="19.95" customHeight="1" x14ac:dyDescent="0.35"/>
    <row r="737" ht="19.95" customHeight="1" x14ac:dyDescent="0.35"/>
    <row r="738" ht="19.95" customHeight="1" x14ac:dyDescent="0.35"/>
    <row r="739" ht="19.95" customHeight="1" x14ac:dyDescent="0.35"/>
    <row r="740" ht="19.95" customHeight="1" x14ac:dyDescent="0.35"/>
    <row r="741" ht="19.95" customHeight="1" x14ac:dyDescent="0.35"/>
    <row r="742" ht="19.95" customHeight="1" x14ac:dyDescent="0.35"/>
    <row r="743" ht="19.95" customHeight="1" x14ac:dyDescent="0.35"/>
    <row r="744" ht="19.95" customHeight="1" x14ac:dyDescent="0.35"/>
    <row r="745" ht="19.95" customHeight="1" x14ac:dyDescent="0.35"/>
    <row r="746" ht="19.95" customHeight="1" x14ac:dyDescent="0.35"/>
    <row r="747" ht="19.95" customHeight="1" x14ac:dyDescent="0.35"/>
    <row r="748" ht="19.95" customHeight="1" x14ac:dyDescent="0.35"/>
    <row r="749" ht="19.95" customHeight="1" x14ac:dyDescent="0.35"/>
    <row r="750" ht="19.95" customHeight="1" x14ac:dyDescent="0.35"/>
    <row r="751" ht="19.95" customHeight="1" x14ac:dyDescent="0.35"/>
    <row r="752" ht="19.95" customHeight="1" x14ac:dyDescent="0.35"/>
    <row r="753" ht="19.95" customHeight="1" x14ac:dyDescent="0.35"/>
    <row r="754" ht="19.95" customHeight="1" x14ac:dyDescent="0.35"/>
    <row r="755" ht="19.95" customHeight="1" x14ac:dyDescent="0.35"/>
    <row r="756" ht="19.95" customHeight="1" x14ac:dyDescent="0.35"/>
    <row r="757" ht="19.95" customHeight="1" x14ac:dyDescent="0.35"/>
    <row r="758" ht="19.95" customHeight="1" x14ac:dyDescent="0.35"/>
    <row r="759" ht="19.95" customHeight="1" x14ac:dyDescent="0.35"/>
    <row r="760" ht="19.95" customHeight="1" x14ac:dyDescent="0.35"/>
    <row r="761" ht="19.95" customHeight="1" x14ac:dyDescent="0.35"/>
    <row r="762" ht="19.95" customHeight="1" x14ac:dyDescent="0.35"/>
    <row r="763" ht="19.95" customHeight="1" x14ac:dyDescent="0.35"/>
    <row r="764" ht="19.95" customHeight="1" x14ac:dyDescent="0.35"/>
    <row r="765" ht="19.95" customHeight="1" x14ac:dyDescent="0.35"/>
    <row r="766" ht="19.95" customHeight="1" x14ac:dyDescent="0.35"/>
    <row r="767" ht="19.95" customHeight="1" x14ac:dyDescent="0.35"/>
    <row r="768" ht="19.95" customHeight="1" x14ac:dyDescent="0.35"/>
    <row r="769" ht="19.95" customHeight="1" x14ac:dyDescent="0.35"/>
    <row r="770" ht="19.95" customHeight="1" x14ac:dyDescent="0.35"/>
    <row r="771" ht="19.95" customHeight="1" x14ac:dyDescent="0.35"/>
    <row r="772" ht="19.95" customHeight="1" x14ac:dyDescent="0.35"/>
    <row r="773" ht="19.95" customHeight="1" x14ac:dyDescent="0.35"/>
    <row r="774" ht="19.95" customHeight="1" x14ac:dyDescent="0.35"/>
    <row r="775" ht="19.95" customHeight="1" x14ac:dyDescent="0.35"/>
    <row r="776" ht="19.95" customHeight="1" x14ac:dyDescent="0.35"/>
    <row r="777" ht="19.95" customHeight="1" x14ac:dyDescent="0.35"/>
    <row r="778" ht="19.95" customHeight="1" x14ac:dyDescent="0.35"/>
    <row r="779" ht="19.95" customHeight="1" x14ac:dyDescent="0.35"/>
    <row r="780" ht="19.95" customHeight="1" x14ac:dyDescent="0.35"/>
    <row r="781" ht="19.95" customHeight="1" x14ac:dyDescent="0.35"/>
    <row r="782" ht="19.95" customHeight="1" x14ac:dyDescent="0.35"/>
    <row r="783" ht="19.95" customHeight="1" x14ac:dyDescent="0.35"/>
    <row r="784" ht="19.95" customHeight="1" x14ac:dyDescent="0.35"/>
    <row r="785" ht="19.95" customHeight="1" x14ac:dyDescent="0.35"/>
    <row r="786" ht="19.95" customHeight="1" x14ac:dyDescent="0.35"/>
    <row r="787" ht="19.95" customHeight="1" x14ac:dyDescent="0.35"/>
    <row r="788" ht="19.95" customHeight="1" x14ac:dyDescent="0.35"/>
    <row r="789" ht="19.95" customHeight="1" x14ac:dyDescent="0.35"/>
    <row r="790" ht="19.95" customHeight="1" x14ac:dyDescent="0.35"/>
    <row r="791" ht="19.95" customHeight="1" x14ac:dyDescent="0.35"/>
    <row r="792" ht="19.95" customHeight="1" x14ac:dyDescent="0.35"/>
    <row r="793" ht="19.95" customHeight="1" x14ac:dyDescent="0.35"/>
    <row r="794" ht="19.95" customHeight="1" x14ac:dyDescent="0.35"/>
    <row r="795" ht="19.95" customHeight="1" x14ac:dyDescent="0.35"/>
    <row r="796" ht="19.95" customHeight="1" x14ac:dyDescent="0.35"/>
    <row r="797" ht="19.95" customHeight="1" x14ac:dyDescent="0.35"/>
    <row r="798" ht="19.95" customHeight="1" x14ac:dyDescent="0.35"/>
    <row r="799" ht="19.95" customHeight="1" x14ac:dyDescent="0.35"/>
    <row r="800" ht="19.95" customHeight="1" x14ac:dyDescent="0.35"/>
    <row r="801" ht="19.95" customHeight="1" x14ac:dyDescent="0.35"/>
    <row r="802" ht="19.95" customHeight="1" x14ac:dyDescent="0.35"/>
    <row r="803" ht="19.95" customHeight="1" x14ac:dyDescent="0.35"/>
    <row r="804" ht="19.95" customHeight="1" x14ac:dyDescent="0.35"/>
    <row r="805" ht="19.95" customHeight="1" x14ac:dyDescent="0.35"/>
    <row r="806" ht="19.95" customHeight="1" x14ac:dyDescent="0.35"/>
    <row r="807" ht="19.95" customHeight="1" x14ac:dyDescent="0.35"/>
    <row r="808" ht="19.95" customHeight="1" x14ac:dyDescent="0.35"/>
    <row r="809" ht="19.95" customHeight="1" x14ac:dyDescent="0.35"/>
    <row r="810" ht="19.95" customHeight="1" x14ac:dyDescent="0.35"/>
    <row r="811" ht="19.95" customHeight="1" x14ac:dyDescent="0.35"/>
    <row r="812" ht="19.95" customHeight="1" x14ac:dyDescent="0.35"/>
    <row r="813" ht="19.95" customHeight="1" x14ac:dyDescent="0.35"/>
    <row r="814" ht="19.95" customHeight="1" x14ac:dyDescent="0.35"/>
    <row r="815" ht="19.95" customHeight="1" x14ac:dyDescent="0.35"/>
    <row r="816" ht="19.95" customHeight="1" x14ac:dyDescent="0.35"/>
    <row r="817" ht="19.95" customHeight="1" x14ac:dyDescent="0.35"/>
    <row r="818" ht="19.95" customHeight="1" x14ac:dyDescent="0.35"/>
    <row r="819" ht="19.95" customHeight="1" x14ac:dyDescent="0.35"/>
    <row r="820" ht="19.95" customHeight="1" x14ac:dyDescent="0.35"/>
    <row r="821" ht="19.95" customHeight="1" x14ac:dyDescent="0.35"/>
    <row r="822" ht="19.95" customHeight="1" x14ac:dyDescent="0.35"/>
    <row r="823" ht="19.95" customHeight="1" x14ac:dyDescent="0.35"/>
    <row r="824" ht="19.95" customHeight="1" x14ac:dyDescent="0.35"/>
    <row r="825" ht="19.95" customHeight="1" x14ac:dyDescent="0.35"/>
    <row r="826" ht="19.95" customHeight="1" x14ac:dyDescent="0.35"/>
    <row r="827" ht="19.95" customHeight="1" x14ac:dyDescent="0.35"/>
    <row r="828" ht="19.95" customHeight="1" x14ac:dyDescent="0.35"/>
    <row r="829" ht="19.95" customHeight="1" x14ac:dyDescent="0.35"/>
    <row r="830" ht="19.95" customHeight="1" x14ac:dyDescent="0.35"/>
    <row r="831" ht="19.95" customHeight="1" x14ac:dyDescent="0.35"/>
    <row r="832" ht="19.95" customHeight="1" x14ac:dyDescent="0.35"/>
    <row r="833" ht="19.95" customHeight="1" x14ac:dyDescent="0.35"/>
    <row r="834" ht="19.95" customHeight="1" x14ac:dyDescent="0.35"/>
    <row r="835" ht="19.95" customHeight="1" x14ac:dyDescent="0.35"/>
    <row r="836" ht="19.95" customHeight="1" x14ac:dyDescent="0.35"/>
    <row r="837" ht="19.95" customHeight="1" x14ac:dyDescent="0.35"/>
    <row r="838" ht="19.95" customHeight="1" x14ac:dyDescent="0.35"/>
    <row r="839" ht="19.95" customHeight="1" x14ac:dyDescent="0.35"/>
    <row r="840" ht="19.95" customHeight="1" x14ac:dyDescent="0.35"/>
    <row r="841" ht="19.95" customHeight="1" x14ac:dyDescent="0.35"/>
    <row r="842" ht="19.95" customHeight="1" x14ac:dyDescent="0.35"/>
    <row r="843" ht="19.95" customHeight="1" x14ac:dyDescent="0.35"/>
    <row r="844" ht="19.95" customHeight="1" x14ac:dyDescent="0.35"/>
    <row r="845" ht="19.95" customHeight="1" x14ac:dyDescent="0.35"/>
    <row r="846" ht="19.95" customHeight="1" x14ac:dyDescent="0.35"/>
    <row r="847" ht="19.95" customHeight="1" x14ac:dyDescent="0.35"/>
    <row r="848" ht="19.95" customHeight="1" x14ac:dyDescent="0.35"/>
    <row r="849" ht="19.95" customHeight="1" x14ac:dyDescent="0.35"/>
    <row r="850" ht="19.95" customHeight="1" x14ac:dyDescent="0.35"/>
    <row r="851" ht="19.95" customHeight="1" x14ac:dyDescent="0.35"/>
    <row r="852" ht="19.95" customHeight="1" x14ac:dyDescent="0.35"/>
    <row r="853" ht="19.95" customHeight="1" x14ac:dyDescent="0.35"/>
    <row r="854" ht="19.95" customHeight="1" x14ac:dyDescent="0.35"/>
    <row r="855" ht="19.95" customHeight="1" x14ac:dyDescent="0.35"/>
    <row r="856" ht="19.95" customHeight="1" x14ac:dyDescent="0.35"/>
    <row r="857" ht="19.95" customHeight="1" x14ac:dyDescent="0.35"/>
    <row r="858" ht="19.95" customHeight="1" x14ac:dyDescent="0.35"/>
    <row r="859" ht="19.95" customHeight="1" x14ac:dyDescent="0.35"/>
    <row r="860" ht="19.95" customHeight="1" x14ac:dyDescent="0.35"/>
    <row r="861" ht="19.95" customHeight="1" x14ac:dyDescent="0.35"/>
    <row r="862" ht="19.95" customHeight="1" x14ac:dyDescent="0.35"/>
    <row r="863" ht="19.95" customHeight="1" x14ac:dyDescent="0.35"/>
    <row r="864" ht="19.95" customHeight="1" x14ac:dyDescent="0.35"/>
    <row r="865" ht="19.95" customHeight="1" x14ac:dyDescent="0.35"/>
    <row r="866" ht="19.95" customHeight="1" x14ac:dyDescent="0.35"/>
    <row r="867" ht="19.95" customHeight="1" x14ac:dyDescent="0.35"/>
    <row r="868" ht="19.95" customHeight="1" x14ac:dyDescent="0.35"/>
    <row r="869" ht="19.95" customHeight="1" x14ac:dyDescent="0.35"/>
    <row r="870" ht="19.95" customHeight="1" x14ac:dyDescent="0.35"/>
    <row r="871" ht="19.95" customHeight="1" x14ac:dyDescent="0.35"/>
    <row r="872" ht="19.95" customHeight="1" x14ac:dyDescent="0.35"/>
    <row r="873" ht="19.95" customHeight="1" x14ac:dyDescent="0.35"/>
    <row r="874" ht="19.95" customHeight="1" x14ac:dyDescent="0.35"/>
    <row r="875" ht="19.95" customHeight="1" x14ac:dyDescent="0.35"/>
    <row r="876" ht="19.95" customHeight="1" x14ac:dyDescent="0.35"/>
    <row r="877" ht="19.95" customHeight="1" x14ac:dyDescent="0.35"/>
    <row r="878" ht="19.95" customHeight="1" x14ac:dyDescent="0.35"/>
    <row r="879" ht="19.95" customHeight="1" x14ac:dyDescent="0.35"/>
    <row r="880" ht="19.95" customHeight="1" x14ac:dyDescent="0.35"/>
    <row r="881" ht="19.95" customHeight="1" x14ac:dyDescent="0.35"/>
    <row r="882" ht="19.95" customHeight="1" x14ac:dyDescent="0.35"/>
    <row r="883" ht="19.95" customHeight="1" x14ac:dyDescent="0.35"/>
    <row r="884" ht="19.95" customHeight="1" x14ac:dyDescent="0.35"/>
    <row r="885" ht="19.95" customHeight="1" x14ac:dyDescent="0.35"/>
    <row r="886" ht="19.95" customHeight="1" x14ac:dyDescent="0.35"/>
    <row r="887" ht="19.95" customHeight="1" x14ac:dyDescent="0.35"/>
    <row r="888" ht="19.95" customHeight="1" x14ac:dyDescent="0.35"/>
    <row r="889" ht="19.95" customHeight="1" x14ac:dyDescent="0.35"/>
    <row r="890" ht="19.95" customHeight="1" x14ac:dyDescent="0.35"/>
    <row r="891" ht="19.95" customHeight="1" x14ac:dyDescent="0.35"/>
    <row r="892" ht="19.95" customHeight="1" x14ac:dyDescent="0.35"/>
    <row r="893" ht="19.95" customHeight="1" x14ac:dyDescent="0.35"/>
    <row r="894" ht="19.95" customHeight="1" x14ac:dyDescent="0.35"/>
    <row r="895" ht="19.95" customHeight="1" x14ac:dyDescent="0.35"/>
    <row r="896" ht="19.95" customHeight="1" x14ac:dyDescent="0.35"/>
    <row r="897" ht="19.95" customHeight="1" x14ac:dyDescent="0.35"/>
    <row r="898" ht="19.95" customHeight="1" x14ac:dyDescent="0.35"/>
    <row r="899" ht="19.95" customHeight="1" x14ac:dyDescent="0.35"/>
    <row r="900" ht="19.95" customHeight="1" x14ac:dyDescent="0.35"/>
    <row r="901" ht="19.95" customHeight="1" x14ac:dyDescent="0.35"/>
    <row r="902" ht="19.95" customHeight="1" x14ac:dyDescent="0.35"/>
    <row r="903" ht="19.95" customHeight="1" x14ac:dyDescent="0.35"/>
    <row r="904" ht="19.95" customHeight="1" x14ac:dyDescent="0.35"/>
    <row r="905" ht="19.95" customHeight="1" x14ac:dyDescent="0.35"/>
    <row r="906" ht="19.95" customHeight="1" x14ac:dyDescent="0.35"/>
    <row r="907" ht="19.95" customHeight="1" x14ac:dyDescent="0.35"/>
    <row r="908" ht="19.95" customHeight="1" x14ac:dyDescent="0.35"/>
    <row r="909" ht="19.95" customHeight="1" x14ac:dyDescent="0.35"/>
    <row r="910" ht="19.95" customHeight="1" x14ac:dyDescent="0.35"/>
    <row r="911" ht="19.95" customHeight="1" x14ac:dyDescent="0.35"/>
    <row r="912" ht="19.95" customHeight="1" x14ac:dyDescent="0.35"/>
    <row r="913" ht="19.95" customHeight="1" x14ac:dyDescent="0.35"/>
    <row r="914" ht="19.95" customHeight="1" x14ac:dyDescent="0.35"/>
    <row r="915" ht="19.95" customHeight="1" x14ac:dyDescent="0.35"/>
    <row r="916" ht="19.95" customHeight="1" x14ac:dyDescent="0.35"/>
    <row r="917" ht="19.95" customHeight="1" x14ac:dyDescent="0.35"/>
    <row r="918" ht="19.95" customHeight="1" x14ac:dyDescent="0.35"/>
    <row r="919" ht="19.95" customHeight="1" x14ac:dyDescent="0.35"/>
    <row r="920" ht="19.95" customHeight="1" x14ac:dyDescent="0.35"/>
    <row r="921" ht="19.95" customHeight="1" x14ac:dyDescent="0.35"/>
    <row r="922" ht="19.95" customHeight="1" x14ac:dyDescent="0.35"/>
    <row r="923" ht="19.95" customHeight="1" x14ac:dyDescent="0.35"/>
    <row r="924" ht="19.95" customHeight="1" x14ac:dyDescent="0.35"/>
    <row r="925" ht="19.95" customHeight="1" x14ac:dyDescent="0.35"/>
    <row r="926" ht="19.95" customHeight="1" x14ac:dyDescent="0.35"/>
    <row r="927" ht="19.95" customHeight="1" x14ac:dyDescent="0.35"/>
    <row r="928" ht="19.95" customHeight="1" x14ac:dyDescent="0.35"/>
    <row r="929" ht="19.95" customHeight="1" x14ac:dyDescent="0.35"/>
    <row r="930" ht="19.95" customHeight="1" x14ac:dyDescent="0.35"/>
    <row r="931" ht="19.95" customHeight="1" x14ac:dyDescent="0.35"/>
    <row r="932" ht="19.95" customHeight="1" x14ac:dyDescent="0.35"/>
    <row r="933" ht="19.95" customHeight="1" x14ac:dyDescent="0.35"/>
    <row r="934" ht="19.95" customHeight="1" x14ac:dyDescent="0.35"/>
    <row r="935" ht="19.95" customHeight="1" x14ac:dyDescent="0.35"/>
    <row r="936" ht="19.95" customHeight="1" x14ac:dyDescent="0.35"/>
    <row r="937" ht="19.95" customHeight="1" x14ac:dyDescent="0.35"/>
    <row r="938" ht="19.95" customHeight="1" x14ac:dyDescent="0.35"/>
    <row r="939" ht="19.95" customHeight="1" x14ac:dyDescent="0.35"/>
    <row r="940" ht="19.95" customHeight="1" x14ac:dyDescent="0.35"/>
    <row r="941" ht="19.95" customHeight="1" x14ac:dyDescent="0.35"/>
    <row r="942" ht="19.95" customHeight="1" x14ac:dyDescent="0.35"/>
    <row r="943" ht="19.95" customHeight="1" x14ac:dyDescent="0.35"/>
    <row r="944" ht="19.95" customHeight="1" x14ac:dyDescent="0.35"/>
    <row r="945" ht="19.95" customHeight="1" x14ac:dyDescent="0.35"/>
    <row r="946" ht="19.95" customHeight="1" x14ac:dyDescent="0.35"/>
    <row r="947" ht="19.95" customHeight="1" x14ac:dyDescent="0.35"/>
    <row r="948" ht="19.95" customHeight="1" x14ac:dyDescent="0.35"/>
    <row r="949" ht="19.95" customHeight="1" x14ac:dyDescent="0.35"/>
    <row r="950" ht="19.95" customHeight="1" x14ac:dyDescent="0.35"/>
    <row r="951" ht="19.95" customHeight="1" x14ac:dyDescent="0.35"/>
    <row r="952" ht="19.95" customHeight="1" x14ac:dyDescent="0.35"/>
    <row r="953" ht="19.95" customHeight="1" x14ac:dyDescent="0.35"/>
    <row r="954" ht="19.95" customHeight="1" x14ac:dyDescent="0.35"/>
    <row r="955" ht="19.95" customHeight="1" x14ac:dyDescent="0.35"/>
    <row r="956" ht="19.95" customHeight="1" x14ac:dyDescent="0.35"/>
    <row r="957" ht="19.95" customHeight="1" x14ac:dyDescent="0.35"/>
    <row r="958" ht="19.95" customHeight="1" x14ac:dyDescent="0.35"/>
    <row r="959" ht="19.95" customHeight="1" x14ac:dyDescent="0.35"/>
    <row r="960" ht="19.95" customHeight="1" x14ac:dyDescent="0.35"/>
    <row r="961" ht="19.95" customHeight="1" x14ac:dyDescent="0.35"/>
    <row r="962" ht="19.95" customHeight="1" x14ac:dyDescent="0.35"/>
    <row r="963" ht="19.95" customHeight="1" x14ac:dyDescent="0.35"/>
    <row r="964" ht="19.95" customHeight="1" x14ac:dyDescent="0.35"/>
    <row r="965" ht="19.95" customHeight="1" x14ac:dyDescent="0.35"/>
    <row r="966" ht="19.95" customHeight="1" x14ac:dyDescent="0.35"/>
    <row r="967" ht="19.95" customHeight="1" x14ac:dyDescent="0.35"/>
    <row r="968" ht="19.95" customHeight="1" x14ac:dyDescent="0.35"/>
    <row r="969" ht="19.95" customHeight="1" x14ac:dyDescent="0.35"/>
    <row r="970" ht="19.95" customHeight="1" x14ac:dyDescent="0.35"/>
    <row r="971" ht="19.95" customHeight="1" x14ac:dyDescent="0.35"/>
    <row r="972" ht="19.95" customHeight="1" x14ac:dyDescent="0.35"/>
    <row r="973" ht="19.95" customHeight="1" x14ac:dyDescent="0.35"/>
    <row r="974" ht="19.95" customHeight="1" x14ac:dyDescent="0.35"/>
    <row r="975" ht="19.95" customHeight="1" x14ac:dyDescent="0.35"/>
    <row r="976" ht="19.95" customHeight="1" x14ac:dyDescent="0.35"/>
    <row r="977" ht="19.95" customHeight="1" x14ac:dyDescent="0.35"/>
    <row r="978" ht="19.95" customHeight="1" x14ac:dyDescent="0.35"/>
    <row r="979" ht="19.95" customHeight="1" x14ac:dyDescent="0.35"/>
    <row r="980" ht="19.95" customHeight="1" x14ac:dyDescent="0.35"/>
    <row r="981" ht="19.95" customHeight="1" x14ac:dyDescent="0.35"/>
    <row r="982" ht="19.95" customHeight="1" x14ac:dyDescent="0.35"/>
    <row r="983" ht="19.95" customHeight="1" x14ac:dyDescent="0.35"/>
    <row r="984" ht="19.95" customHeight="1" x14ac:dyDescent="0.35"/>
    <row r="985" ht="19.95" customHeight="1" x14ac:dyDescent="0.35"/>
    <row r="986" ht="19.95" customHeight="1" x14ac:dyDescent="0.35"/>
    <row r="987" ht="19.95" customHeight="1" x14ac:dyDescent="0.35"/>
    <row r="988" ht="19.95" customHeight="1" x14ac:dyDescent="0.35"/>
    <row r="989" ht="19.95" customHeight="1" x14ac:dyDescent="0.35"/>
    <row r="990" ht="19.95" customHeight="1" x14ac:dyDescent="0.35"/>
    <row r="991" ht="19.95" customHeight="1" x14ac:dyDescent="0.35"/>
    <row r="992" ht="19.95" customHeight="1" x14ac:dyDescent="0.35"/>
    <row r="993" ht="19.95" customHeight="1" x14ac:dyDescent="0.35"/>
    <row r="994" ht="19.95" customHeight="1" x14ac:dyDescent="0.35"/>
    <row r="995" ht="19.95" customHeight="1" x14ac:dyDescent="0.35"/>
    <row r="996" ht="19.95" customHeight="1" x14ac:dyDescent="0.35"/>
    <row r="997" ht="19.95" customHeight="1" x14ac:dyDescent="0.35"/>
    <row r="998" ht="19.95" customHeight="1" x14ac:dyDescent="0.35"/>
    <row r="999" ht="19.95" customHeight="1" x14ac:dyDescent="0.35"/>
    <row r="1000" ht="19.95" customHeight="1" x14ac:dyDescent="0.35"/>
    <row r="1001" ht="19.95" customHeight="1" x14ac:dyDescent="0.35"/>
    <row r="1002" ht="19.95" customHeight="1" x14ac:dyDescent="0.35"/>
    <row r="1003" ht="19.95" customHeight="1" x14ac:dyDescent="0.35"/>
    <row r="1004" ht="19.95" customHeight="1" x14ac:dyDescent="0.35"/>
    <row r="1005" ht="19.95" customHeight="1" x14ac:dyDescent="0.35"/>
    <row r="1006" ht="19.95" customHeight="1" x14ac:dyDescent="0.35"/>
    <row r="1007" ht="19.95" customHeight="1" x14ac:dyDescent="0.35"/>
    <row r="1008" ht="19.95" customHeight="1" x14ac:dyDescent="0.35"/>
    <row r="1009" ht="19.95" customHeight="1" x14ac:dyDescent="0.35"/>
    <row r="1010" ht="19.95" customHeight="1" x14ac:dyDescent="0.35"/>
    <row r="1011" ht="19.95" customHeight="1" x14ac:dyDescent="0.35"/>
    <row r="1012" ht="19.95" customHeight="1" x14ac:dyDescent="0.35"/>
    <row r="1013" ht="19.95" customHeight="1" x14ac:dyDescent="0.35"/>
    <row r="1014" ht="19.95" customHeight="1" x14ac:dyDescent="0.35"/>
    <row r="1015" ht="19.95" customHeight="1" x14ac:dyDescent="0.35"/>
    <row r="1016" ht="19.95" customHeight="1" x14ac:dyDescent="0.35"/>
    <row r="1017" ht="19.95" customHeight="1" x14ac:dyDescent="0.35"/>
    <row r="1018" ht="19.95" customHeight="1" x14ac:dyDescent="0.35"/>
    <row r="1019" ht="19.95" customHeight="1" x14ac:dyDescent="0.35"/>
    <row r="1020" ht="19.95" customHeight="1" x14ac:dyDescent="0.35"/>
    <row r="1021" ht="19.95" customHeight="1" x14ac:dyDescent="0.35"/>
    <row r="1022" ht="19.95" customHeight="1" x14ac:dyDescent="0.35"/>
    <row r="1023" ht="19.95" customHeight="1" x14ac:dyDescent="0.35"/>
    <row r="1024" ht="19.95" customHeight="1" x14ac:dyDescent="0.35"/>
    <row r="1025" ht="19.95" customHeight="1" x14ac:dyDescent="0.35"/>
    <row r="1026" ht="19.95" customHeight="1" x14ac:dyDescent="0.35"/>
    <row r="1027" ht="19.95" customHeight="1" x14ac:dyDescent="0.35"/>
    <row r="1028" ht="19.95" customHeight="1" x14ac:dyDescent="0.35"/>
    <row r="1029" ht="19.95" customHeight="1" x14ac:dyDescent="0.35"/>
    <row r="1030" ht="19.95" customHeight="1" x14ac:dyDescent="0.35"/>
    <row r="1031" ht="19.95" customHeight="1" x14ac:dyDescent="0.35"/>
    <row r="1032" ht="19.95" customHeight="1" x14ac:dyDescent="0.35"/>
    <row r="1033" ht="19.95" customHeight="1" x14ac:dyDescent="0.35"/>
    <row r="1034" ht="19.95" customHeight="1" x14ac:dyDescent="0.35"/>
    <row r="1035" ht="19.95" customHeight="1" x14ac:dyDescent="0.35"/>
    <row r="1036" ht="19.95" customHeight="1" x14ac:dyDescent="0.35"/>
    <row r="1037" ht="19.95" customHeight="1" x14ac:dyDescent="0.35"/>
    <row r="1038" ht="19.95" customHeight="1" x14ac:dyDescent="0.35"/>
    <row r="1039" ht="19.95" customHeight="1" x14ac:dyDescent="0.35"/>
    <row r="1040" ht="19.95" customHeight="1" x14ac:dyDescent="0.35"/>
    <row r="1041" ht="19.95" customHeight="1" x14ac:dyDescent="0.35"/>
    <row r="1042" ht="19.95" customHeight="1" x14ac:dyDescent="0.35"/>
    <row r="1043" ht="19.95" customHeight="1" x14ac:dyDescent="0.35"/>
    <row r="1044" ht="19.95" customHeight="1" x14ac:dyDescent="0.35"/>
    <row r="1045" ht="19.95" customHeight="1" x14ac:dyDescent="0.35"/>
    <row r="1046" ht="19.95" customHeight="1" x14ac:dyDescent="0.35"/>
    <row r="1047" ht="19.95" customHeight="1" x14ac:dyDescent="0.35"/>
    <row r="1048" ht="19.95" customHeight="1" x14ac:dyDescent="0.35"/>
    <row r="1049" ht="19.95" customHeight="1" x14ac:dyDescent="0.35"/>
    <row r="1050" ht="19.95" customHeight="1" x14ac:dyDescent="0.35"/>
    <row r="1051" ht="19.95" customHeight="1" x14ac:dyDescent="0.35"/>
    <row r="1052" ht="19.95" customHeight="1" x14ac:dyDescent="0.35"/>
    <row r="1053" ht="19.95" customHeight="1" x14ac:dyDescent="0.35"/>
    <row r="1054" ht="19.95" customHeight="1" x14ac:dyDescent="0.35"/>
    <row r="1055" ht="19.95" customHeight="1" x14ac:dyDescent="0.35"/>
    <row r="1056" ht="19.95" customHeight="1" x14ac:dyDescent="0.35"/>
    <row r="1057" ht="19.95" customHeight="1" x14ac:dyDescent="0.35"/>
    <row r="1058" ht="19.95" customHeight="1" x14ac:dyDescent="0.35"/>
    <row r="1059" ht="19.95" customHeight="1" x14ac:dyDescent="0.35"/>
    <row r="1060" ht="19.95" customHeight="1" x14ac:dyDescent="0.35"/>
    <row r="1061" ht="19.95" customHeight="1" x14ac:dyDescent="0.35"/>
    <row r="1062" ht="19.95" customHeight="1" x14ac:dyDescent="0.35"/>
    <row r="1063" ht="19.95" customHeight="1" x14ac:dyDescent="0.35"/>
    <row r="1064" ht="19.95" customHeight="1" x14ac:dyDescent="0.35"/>
    <row r="1065" ht="19.95" customHeight="1" x14ac:dyDescent="0.35"/>
    <row r="1066" ht="19.95" customHeight="1" x14ac:dyDescent="0.35"/>
    <row r="1067" ht="19.95" customHeight="1" x14ac:dyDescent="0.35"/>
    <row r="1068" ht="19.95" customHeight="1" x14ac:dyDescent="0.35"/>
    <row r="1069" ht="19.95" customHeight="1" x14ac:dyDescent="0.35"/>
    <row r="1070" ht="19.95" customHeight="1" x14ac:dyDescent="0.35"/>
    <row r="1071" ht="19.95" customHeight="1" x14ac:dyDescent="0.35"/>
    <row r="1072" ht="19.95" customHeight="1" x14ac:dyDescent="0.35"/>
    <row r="1073" ht="19.95" customHeight="1" x14ac:dyDescent="0.35"/>
    <row r="1074" ht="19.95" customHeight="1" x14ac:dyDescent="0.35"/>
    <row r="1075" ht="19.95" customHeight="1" x14ac:dyDescent="0.35"/>
    <row r="1076" ht="19.95" customHeight="1" x14ac:dyDescent="0.35"/>
    <row r="1077" ht="19.95" customHeight="1" x14ac:dyDescent="0.35"/>
    <row r="1078" ht="19.95" customHeight="1" x14ac:dyDescent="0.35"/>
    <row r="1079" ht="19.95" customHeight="1" x14ac:dyDescent="0.35"/>
    <row r="1080" ht="19.95" customHeight="1" x14ac:dyDescent="0.35"/>
    <row r="1081" ht="19.95" customHeight="1" x14ac:dyDescent="0.35"/>
    <row r="1082" ht="19.95" customHeight="1" x14ac:dyDescent="0.35"/>
    <row r="1083" ht="19.95" customHeight="1" x14ac:dyDescent="0.35"/>
    <row r="1084" ht="19.95" customHeight="1" x14ac:dyDescent="0.35"/>
    <row r="1085" ht="19.95" customHeight="1" x14ac:dyDescent="0.35"/>
    <row r="1086" ht="19.95" customHeight="1" x14ac:dyDescent="0.35"/>
    <row r="1087" ht="19.95" customHeight="1" x14ac:dyDescent="0.35"/>
    <row r="1088" ht="19.95" customHeight="1" x14ac:dyDescent="0.35"/>
    <row r="1089" ht="19.95" customHeight="1" x14ac:dyDescent="0.35"/>
    <row r="1090" ht="19.95" customHeight="1" x14ac:dyDescent="0.35"/>
    <row r="1091" ht="19.95" customHeight="1" x14ac:dyDescent="0.35"/>
    <row r="1092" ht="19.95" customHeight="1" x14ac:dyDescent="0.35"/>
    <row r="1093" ht="19.95" customHeight="1" x14ac:dyDescent="0.35"/>
    <row r="1094" ht="19.95" customHeight="1" x14ac:dyDescent="0.35"/>
    <row r="1095" ht="19.95" customHeight="1" x14ac:dyDescent="0.35"/>
    <row r="1096" ht="19.95" customHeight="1" x14ac:dyDescent="0.35"/>
    <row r="1097" ht="19.95" customHeight="1" x14ac:dyDescent="0.35"/>
    <row r="1098" ht="19.95" customHeight="1" x14ac:dyDescent="0.35"/>
    <row r="1099" ht="19.95" customHeight="1" x14ac:dyDescent="0.35"/>
    <row r="1100" ht="19.95" customHeight="1" x14ac:dyDescent="0.35"/>
    <row r="1101" ht="19.95" customHeight="1" x14ac:dyDescent="0.35"/>
    <row r="1102" ht="19.95" customHeight="1" x14ac:dyDescent="0.35"/>
    <row r="1103" ht="19.95" customHeight="1" x14ac:dyDescent="0.35"/>
    <row r="1104" ht="19.95" customHeight="1" x14ac:dyDescent="0.35"/>
    <row r="1105" ht="19.95" customHeight="1" x14ac:dyDescent="0.35"/>
    <row r="1106" ht="19.95" customHeight="1" x14ac:dyDescent="0.35"/>
    <row r="1107" ht="19.95" customHeight="1" x14ac:dyDescent="0.35"/>
    <row r="1108" ht="19.95" customHeight="1" x14ac:dyDescent="0.35"/>
    <row r="1109" ht="19.95" customHeight="1" x14ac:dyDescent="0.35"/>
    <row r="1110" ht="19.95" customHeight="1" x14ac:dyDescent="0.35"/>
    <row r="1111" ht="19.95" customHeight="1" x14ac:dyDescent="0.35"/>
    <row r="1112" ht="19.95" customHeight="1" x14ac:dyDescent="0.35"/>
    <row r="1113" ht="19.95" customHeight="1" x14ac:dyDescent="0.35"/>
    <row r="1114" ht="19.95" customHeight="1" x14ac:dyDescent="0.35"/>
    <row r="1115" ht="19.95" customHeight="1" x14ac:dyDescent="0.35"/>
    <row r="1116" ht="19.95" customHeight="1" x14ac:dyDescent="0.35"/>
    <row r="1117" ht="19.95" customHeight="1" x14ac:dyDescent="0.35"/>
    <row r="1118" ht="19.95" customHeight="1" x14ac:dyDescent="0.35"/>
    <row r="1119" ht="19.95" customHeight="1" x14ac:dyDescent="0.35"/>
    <row r="1120" ht="19.95" customHeight="1" x14ac:dyDescent="0.35"/>
    <row r="1121" ht="19.95" customHeight="1" x14ac:dyDescent="0.35"/>
    <row r="1122" ht="19.95" customHeight="1" x14ac:dyDescent="0.35"/>
    <row r="1123" ht="19.95" customHeight="1" x14ac:dyDescent="0.35"/>
    <row r="1124" ht="19.95" customHeight="1" x14ac:dyDescent="0.35"/>
    <row r="1125" ht="19.95" customHeight="1" x14ac:dyDescent="0.35"/>
    <row r="1126" ht="19.95" customHeight="1" x14ac:dyDescent="0.35"/>
    <row r="1127" ht="19.95" customHeight="1" x14ac:dyDescent="0.35"/>
    <row r="1128" ht="19.95" customHeight="1" x14ac:dyDescent="0.35"/>
    <row r="1129" ht="19.95" customHeight="1" x14ac:dyDescent="0.35"/>
  </sheetData>
  <mergeCells count="460">
    <mergeCell ref="F583:F584"/>
    <mergeCell ref="G583:G584"/>
    <mergeCell ref="H583:H584"/>
    <mergeCell ref="I583:I584"/>
    <mergeCell ref="J583:J584"/>
    <mergeCell ref="K583:K584"/>
    <mergeCell ref="H536:H537"/>
    <mergeCell ref="I536:I537"/>
    <mergeCell ref="J536:J537"/>
    <mergeCell ref="K536:K537"/>
    <mergeCell ref="A581:K581"/>
    <mergeCell ref="A583:A584"/>
    <mergeCell ref="B583:B584"/>
    <mergeCell ref="C583:C584"/>
    <mergeCell ref="D583:D584"/>
    <mergeCell ref="E583:E584"/>
    <mergeCell ref="J510:J511"/>
    <mergeCell ref="K510:K511"/>
    <mergeCell ref="A534:K534"/>
    <mergeCell ref="A536:A537"/>
    <mergeCell ref="B536:B537"/>
    <mergeCell ref="C536:C537"/>
    <mergeCell ref="D536:D537"/>
    <mergeCell ref="E536:E537"/>
    <mergeCell ref="F536:F537"/>
    <mergeCell ref="G536:G537"/>
    <mergeCell ref="A508:K508"/>
    <mergeCell ref="A510:A511"/>
    <mergeCell ref="B510:B511"/>
    <mergeCell ref="C510:C511"/>
    <mergeCell ref="D510:D511"/>
    <mergeCell ref="E510:E511"/>
    <mergeCell ref="F510:F511"/>
    <mergeCell ref="G510:G511"/>
    <mergeCell ref="H510:H511"/>
    <mergeCell ref="I510:I511"/>
    <mergeCell ref="F499:F500"/>
    <mergeCell ref="G499:G500"/>
    <mergeCell ref="H499:H500"/>
    <mergeCell ref="I499:I500"/>
    <mergeCell ref="J499:J500"/>
    <mergeCell ref="K499:K500"/>
    <mergeCell ref="H482:H483"/>
    <mergeCell ref="I482:I483"/>
    <mergeCell ref="J482:J483"/>
    <mergeCell ref="K482:K483"/>
    <mergeCell ref="A497:K497"/>
    <mergeCell ref="A499:A500"/>
    <mergeCell ref="B499:B500"/>
    <mergeCell ref="C499:C500"/>
    <mergeCell ref="D499:D500"/>
    <mergeCell ref="E499:E500"/>
    <mergeCell ref="J472:J473"/>
    <mergeCell ref="K472:K473"/>
    <mergeCell ref="A480:K480"/>
    <mergeCell ref="A482:A483"/>
    <mergeCell ref="B482:B483"/>
    <mergeCell ref="C482:C483"/>
    <mergeCell ref="D482:D483"/>
    <mergeCell ref="E482:E483"/>
    <mergeCell ref="F482:F483"/>
    <mergeCell ref="G482:G483"/>
    <mergeCell ref="A470:K470"/>
    <mergeCell ref="A472:A473"/>
    <mergeCell ref="B472:B473"/>
    <mergeCell ref="C472:C473"/>
    <mergeCell ref="D472:D473"/>
    <mergeCell ref="E472:E473"/>
    <mergeCell ref="F472:F473"/>
    <mergeCell ref="G472:G473"/>
    <mergeCell ref="H472:H473"/>
    <mergeCell ref="I472:I473"/>
    <mergeCell ref="F440:F441"/>
    <mergeCell ref="G440:G441"/>
    <mergeCell ref="H440:H441"/>
    <mergeCell ref="I440:I441"/>
    <mergeCell ref="J440:J441"/>
    <mergeCell ref="K440:K441"/>
    <mergeCell ref="H421:H422"/>
    <mergeCell ref="I421:I422"/>
    <mergeCell ref="J421:J422"/>
    <mergeCell ref="K421:K422"/>
    <mergeCell ref="A438:K438"/>
    <mergeCell ref="A440:A441"/>
    <mergeCell ref="B440:B441"/>
    <mergeCell ref="C440:C441"/>
    <mergeCell ref="D440:D441"/>
    <mergeCell ref="E440:E441"/>
    <mergeCell ref="J407:J408"/>
    <mergeCell ref="K407:K408"/>
    <mergeCell ref="A419:K419"/>
    <mergeCell ref="A421:A422"/>
    <mergeCell ref="B421:B422"/>
    <mergeCell ref="C421:C422"/>
    <mergeCell ref="D421:D422"/>
    <mergeCell ref="E421:E422"/>
    <mergeCell ref="F421:F422"/>
    <mergeCell ref="G421:G422"/>
    <mergeCell ref="A405:K405"/>
    <mergeCell ref="A407:A408"/>
    <mergeCell ref="B407:B408"/>
    <mergeCell ref="C407:C408"/>
    <mergeCell ref="D407:D408"/>
    <mergeCell ref="E407:E408"/>
    <mergeCell ref="F407:F408"/>
    <mergeCell ref="G407:G408"/>
    <mergeCell ref="H407:H408"/>
    <mergeCell ref="I407:I408"/>
    <mergeCell ref="F397:F398"/>
    <mergeCell ref="G397:G398"/>
    <mergeCell ref="H397:H398"/>
    <mergeCell ref="I397:I398"/>
    <mergeCell ref="J397:J398"/>
    <mergeCell ref="K397:K398"/>
    <mergeCell ref="H380:H381"/>
    <mergeCell ref="I380:I381"/>
    <mergeCell ref="J380:J381"/>
    <mergeCell ref="K380:K381"/>
    <mergeCell ref="A395:K395"/>
    <mergeCell ref="A397:A398"/>
    <mergeCell ref="B397:B398"/>
    <mergeCell ref="C397:C398"/>
    <mergeCell ref="D397:D398"/>
    <mergeCell ref="E397:E398"/>
    <mergeCell ref="J325:J326"/>
    <mergeCell ref="K325:K326"/>
    <mergeCell ref="A378:K378"/>
    <mergeCell ref="A380:A381"/>
    <mergeCell ref="B380:B381"/>
    <mergeCell ref="C380:C381"/>
    <mergeCell ref="D380:D381"/>
    <mergeCell ref="E380:E381"/>
    <mergeCell ref="F380:F381"/>
    <mergeCell ref="G380:G381"/>
    <mergeCell ref="A323:K323"/>
    <mergeCell ref="A325:A326"/>
    <mergeCell ref="B325:B326"/>
    <mergeCell ref="C325:C326"/>
    <mergeCell ref="D325:D326"/>
    <mergeCell ref="E325:E326"/>
    <mergeCell ref="F325:F326"/>
    <mergeCell ref="G325:G326"/>
    <mergeCell ref="H325:H326"/>
    <mergeCell ref="I325:I326"/>
    <mergeCell ref="F314:F315"/>
    <mergeCell ref="G314:G315"/>
    <mergeCell ref="H314:H315"/>
    <mergeCell ref="I314:I315"/>
    <mergeCell ref="J314:J315"/>
    <mergeCell ref="K314:K315"/>
    <mergeCell ref="H301:H302"/>
    <mergeCell ref="I301:I302"/>
    <mergeCell ref="J301:J302"/>
    <mergeCell ref="K301:K302"/>
    <mergeCell ref="A312:K312"/>
    <mergeCell ref="A314:A315"/>
    <mergeCell ref="B314:B315"/>
    <mergeCell ref="C314:C315"/>
    <mergeCell ref="D314:D315"/>
    <mergeCell ref="E314:E315"/>
    <mergeCell ref="J289:J290"/>
    <mergeCell ref="K289:K290"/>
    <mergeCell ref="A299:K299"/>
    <mergeCell ref="A301:A302"/>
    <mergeCell ref="B301:B302"/>
    <mergeCell ref="C301:C302"/>
    <mergeCell ref="D301:D302"/>
    <mergeCell ref="E301:E302"/>
    <mergeCell ref="F301:F302"/>
    <mergeCell ref="G301:G302"/>
    <mergeCell ref="A287:K287"/>
    <mergeCell ref="A289:A290"/>
    <mergeCell ref="B289:B290"/>
    <mergeCell ref="C289:C290"/>
    <mergeCell ref="D289:D290"/>
    <mergeCell ref="E289:E290"/>
    <mergeCell ref="F289:F290"/>
    <mergeCell ref="G289:G290"/>
    <mergeCell ref="H289:H290"/>
    <mergeCell ref="I289:I290"/>
    <mergeCell ref="F279:F280"/>
    <mergeCell ref="G279:G280"/>
    <mergeCell ref="H279:H280"/>
    <mergeCell ref="I279:I280"/>
    <mergeCell ref="J279:J280"/>
    <mergeCell ref="K279:K280"/>
    <mergeCell ref="H269:H270"/>
    <mergeCell ref="I269:I270"/>
    <mergeCell ref="J269:J270"/>
    <mergeCell ref="K269:K270"/>
    <mergeCell ref="A277:K277"/>
    <mergeCell ref="A279:A280"/>
    <mergeCell ref="B279:B280"/>
    <mergeCell ref="C279:C280"/>
    <mergeCell ref="D279:D280"/>
    <mergeCell ref="E279:E280"/>
    <mergeCell ref="J257:J258"/>
    <mergeCell ref="K257:K258"/>
    <mergeCell ref="A267:K267"/>
    <mergeCell ref="A269:A270"/>
    <mergeCell ref="B269:B270"/>
    <mergeCell ref="C269:C270"/>
    <mergeCell ref="D269:D270"/>
    <mergeCell ref="E269:E270"/>
    <mergeCell ref="F269:F270"/>
    <mergeCell ref="G269:G270"/>
    <mergeCell ref="A255:K255"/>
    <mergeCell ref="A257:A258"/>
    <mergeCell ref="B257:B258"/>
    <mergeCell ref="C257:C258"/>
    <mergeCell ref="D257:D258"/>
    <mergeCell ref="E257:E258"/>
    <mergeCell ref="F257:F258"/>
    <mergeCell ref="G257:G258"/>
    <mergeCell ref="H257:H258"/>
    <mergeCell ref="I257:I258"/>
    <mergeCell ref="F248:F249"/>
    <mergeCell ref="G248:G249"/>
    <mergeCell ref="H248:H249"/>
    <mergeCell ref="I248:I249"/>
    <mergeCell ref="J248:J249"/>
    <mergeCell ref="K248:K249"/>
    <mergeCell ref="H231:H232"/>
    <mergeCell ref="I231:I232"/>
    <mergeCell ref="J231:J232"/>
    <mergeCell ref="K231:K232"/>
    <mergeCell ref="A246:K246"/>
    <mergeCell ref="A248:A249"/>
    <mergeCell ref="B248:B249"/>
    <mergeCell ref="C248:C249"/>
    <mergeCell ref="D248:D249"/>
    <mergeCell ref="E248:E249"/>
    <mergeCell ref="A231:A232"/>
    <mergeCell ref="B231:B232"/>
    <mergeCell ref="C231:C232"/>
    <mergeCell ref="E231:E232"/>
    <mergeCell ref="F231:F232"/>
    <mergeCell ref="G231:G232"/>
    <mergeCell ref="G219:G220"/>
    <mergeCell ref="H219:H220"/>
    <mergeCell ref="I219:I220"/>
    <mergeCell ref="J219:J220"/>
    <mergeCell ref="K219:K220"/>
    <mergeCell ref="A229:K229"/>
    <mergeCell ref="A219:A220"/>
    <mergeCell ref="B219:B220"/>
    <mergeCell ref="C219:C220"/>
    <mergeCell ref="D219:D220"/>
    <mergeCell ref="E219:E220"/>
    <mergeCell ref="F219:F220"/>
    <mergeCell ref="G212:G213"/>
    <mergeCell ref="H212:H213"/>
    <mergeCell ref="I212:I213"/>
    <mergeCell ref="J212:J213"/>
    <mergeCell ref="K212:K213"/>
    <mergeCell ref="A217:K217"/>
    <mergeCell ref="A212:A213"/>
    <mergeCell ref="B212:B213"/>
    <mergeCell ref="C212:C213"/>
    <mergeCell ref="D212:D213"/>
    <mergeCell ref="E212:E213"/>
    <mergeCell ref="F212:F213"/>
    <mergeCell ref="G200:G201"/>
    <mergeCell ref="H200:H201"/>
    <mergeCell ref="I200:I201"/>
    <mergeCell ref="J200:J201"/>
    <mergeCell ref="K200:K201"/>
    <mergeCell ref="A210:K210"/>
    <mergeCell ref="A200:A201"/>
    <mergeCell ref="B200:B201"/>
    <mergeCell ref="C200:C201"/>
    <mergeCell ref="D200:D201"/>
    <mergeCell ref="E200:E201"/>
    <mergeCell ref="F200:F201"/>
    <mergeCell ref="G191:G192"/>
    <mergeCell ref="H191:H192"/>
    <mergeCell ref="I191:I192"/>
    <mergeCell ref="J191:J192"/>
    <mergeCell ref="K191:K192"/>
    <mergeCell ref="A198:K198"/>
    <mergeCell ref="A191:A192"/>
    <mergeCell ref="B191:B192"/>
    <mergeCell ref="C191:C192"/>
    <mergeCell ref="D191:D192"/>
    <mergeCell ref="E191:E192"/>
    <mergeCell ref="F191:F192"/>
    <mergeCell ref="G175:G176"/>
    <mergeCell ref="H175:H176"/>
    <mergeCell ref="I175:I176"/>
    <mergeCell ref="J175:J176"/>
    <mergeCell ref="K175:K176"/>
    <mergeCell ref="A189:K189"/>
    <mergeCell ref="A175:A176"/>
    <mergeCell ref="B175:B176"/>
    <mergeCell ref="C175:C176"/>
    <mergeCell ref="D175:D176"/>
    <mergeCell ref="E175:E176"/>
    <mergeCell ref="F175:F176"/>
    <mergeCell ref="G167:G168"/>
    <mergeCell ref="H167:H168"/>
    <mergeCell ref="I167:I168"/>
    <mergeCell ref="J167:J168"/>
    <mergeCell ref="K167:K168"/>
    <mergeCell ref="A173:K173"/>
    <mergeCell ref="A167:A168"/>
    <mergeCell ref="B167:B168"/>
    <mergeCell ref="C167:C168"/>
    <mergeCell ref="D167:D168"/>
    <mergeCell ref="E167:E168"/>
    <mergeCell ref="F167:F168"/>
    <mergeCell ref="G152:G153"/>
    <mergeCell ref="H152:H153"/>
    <mergeCell ref="I152:I153"/>
    <mergeCell ref="J152:J153"/>
    <mergeCell ref="K152:K153"/>
    <mergeCell ref="A165:K165"/>
    <mergeCell ref="A152:A153"/>
    <mergeCell ref="B152:B153"/>
    <mergeCell ref="C152:C153"/>
    <mergeCell ref="D152:D153"/>
    <mergeCell ref="E152:E153"/>
    <mergeCell ref="F152:F153"/>
    <mergeCell ref="G143:G144"/>
    <mergeCell ref="H143:H144"/>
    <mergeCell ref="I143:I144"/>
    <mergeCell ref="J143:J144"/>
    <mergeCell ref="K143:K144"/>
    <mergeCell ref="A150:K150"/>
    <mergeCell ref="A143:A144"/>
    <mergeCell ref="B143:B144"/>
    <mergeCell ref="C143:C144"/>
    <mergeCell ref="D143:D144"/>
    <mergeCell ref="E143:E144"/>
    <mergeCell ref="F143:F144"/>
    <mergeCell ref="G126:G127"/>
    <mergeCell ref="H126:H127"/>
    <mergeCell ref="I126:I127"/>
    <mergeCell ref="J126:J127"/>
    <mergeCell ref="K126:K127"/>
    <mergeCell ref="A141:K141"/>
    <mergeCell ref="A126:A127"/>
    <mergeCell ref="B126:B127"/>
    <mergeCell ref="C126:C127"/>
    <mergeCell ref="D126:D127"/>
    <mergeCell ref="E126:E127"/>
    <mergeCell ref="F126:F127"/>
    <mergeCell ref="G94:G95"/>
    <mergeCell ref="H94:H95"/>
    <mergeCell ref="I94:I95"/>
    <mergeCell ref="J94:J95"/>
    <mergeCell ref="K94:K95"/>
    <mergeCell ref="A124:K124"/>
    <mergeCell ref="A94:A95"/>
    <mergeCell ref="B94:B95"/>
    <mergeCell ref="C94:C95"/>
    <mergeCell ref="D94:D95"/>
    <mergeCell ref="E94:E95"/>
    <mergeCell ref="F94:F95"/>
    <mergeCell ref="I80:I81"/>
    <mergeCell ref="A82:A83"/>
    <mergeCell ref="B82:B83"/>
    <mergeCell ref="F82:F83"/>
    <mergeCell ref="G82:G83"/>
    <mergeCell ref="A92:K92"/>
    <mergeCell ref="H74:H76"/>
    <mergeCell ref="A80:A81"/>
    <mergeCell ref="B80:B81"/>
    <mergeCell ref="C80:C81"/>
    <mergeCell ref="D80:D81"/>
    <mergeCell ref="E80:E81"/>
    <mergeCell ref="F80:F81"/>
    <mergeCell ref="G80:G81"/>
    <mergeCell ref="H80:H81"/>
    <mergeCell ref="B70:B71"/>
    <mergeCell ref="C70:C71"/>
    <mergeCell ref="F70:F71"/>
    <mergeCell ref="G70:G71"/>
    <mergeCell ref="B74:B76"/>
    <mergeCell ref="C74:C76"/>
    <mergeCell ref="F74:F76"/>
    <mergeCell ref="G74:G76"/>
    <mergeCell ref="F61:F63"/>
    <mergeCell ref="G61:G63"/>
    <mergeCell ref="A67:A68"/>
    <mergeCell ref="B67:B68"/>
    <mergeCell ref="C67:C68"/>
    <mergeCell ref="F67:F68"/>
    <mergeCell ref="G67:G68"/>
    <mergeCell ref="F57:F58"/>
    <mergeCell ref="G57:G58"/>
    <mergeCell ref="H57:H58"/>
    <mergeCell ref="I57:I58"/>
    <mergeCell ref="J57:J58"/>
    <mergeCell ref="K57:K58"/>
    <mergeCell ref="H47:H48"/>
    <mergeCell ref="I47:I48"/>
    <mergeCell ref="J47:J48"/>
    <mergeCell ref="K47:K48"/>
    <mergeCell ref="A55:K55"/>
    <mergeCell ref="A57:A58"/>
    <mergeCell ref="B57:B58"/>
    <mergeCell ref="C57:C58"/>
    <mergeCell ref="D57:D58"/>
    <mergeCell ref="E57:E58"/>
    <mergeCell ref="J40:J41"/>
    <mergeCell ref="K40:K41"/>
    <mergeCell ref="A45:K45"/>
    <mergeCell ref="A47:A48"/>
    <mergeCell ref="B47:B48"/>
    <mergeCell ref="C47:C48"/>
    <mergeCell ref="D47:D48"/>
    <mergeCell ref="E47:E48"/>
    <mergeCell ref="F47:F48"/>
    <mergeCell ref="G47:G48"/>
    <mergeCell ref="A38:K38"/>
    <mergeCell ref="A40:A41"/>
    <mergeCell ref="B40:B41"/>
    <mergeCell ref="C40:C41"/>
    <mergeCell ref="D40:D41"/>
    <mergeCell ref="E40:E41"/>
    <mergeCell ref="F40:F41"/>
    <mergeCell ref="G40:G41"/>
    <mergeCell ref="H40:H41"/>
    <mergeCell ref="I40:I41"/>
    <mergeCell ref="F24:F25"/>
    <mergeCell ref="G24:G25"/>
    <mergeCell ref="H24:H25"/>
    <mergeCell ref="I24:I25"/>
    <mergeCell ref="J24:J25"/>
    <mergeCell ref="K24:K25"/>
    <mergeCell ref="H17:H18"/>
    <mergeCell ref="I17:I18"/>
    <mergeCell ref="J17:J18"/>
    <mergeCell ref="K17:K18"/>
    <mergeCell ref="A22:K22"/>
    <mergeCell ref="A24:A25"/>
    <mergeCell ref="B24:B25"/>
    <mergeCell ref="C24:C25"/>
    <mergeCell ref="D24:D25"/>
    <mergeCell ref="E24:E25"/>
    <mergeCell ref="J3:J4"/>
    <mergeCell ref="K3:K4"/>
    <mergeCell ref="A15:K15"/>
    <mergeCell ref="A17:A18"/>
    <mergeCell ref="B17:B18"/>
    <mergeCell ref="C17:C18"/>
    <mergeCell ref="D17:D18"/>
    <mergeCell ref="E17:E18"/>
    <mergeCell ref="F17:F18"/>
    <mergeCell ref="G17:G18"/>
    <mergeCell ref="A1:K1"/>
    <mergeCell ref="A3:A4"/>
    <mergeCell ref="B3:B4"/>
    <mergeCell ref="C3:C4"/>
    <mergeCell ref="D3:D4"/>
    <mergeCell ref="E3:E4"/>
    <mergeCell ref="F3:F4"/>
    <mergeCell ref="G3:G4"/>
    <mergeCell ref="H3:H4"/>
    <mergeCell ref="I3:I4"/>
  </mergeCells>
  <hyperlinks>
    <hyperlink ref="H587" r:id="rId1" display="https://www.google.com/search?q=72413000&amp;sca_esv=fbce5c1644a5d5c8&amp;ei=n7YEaeahKv-ukdUPkKe6uAo&amp;ved=2ahUKEwjHkJr9ws6QAxUYVqQEHcQZNT0QgK4QegQIARAC&amp;uact=5&amp;oq=CUAL+el+cpv+de+Dise%C3%B1o+y+maquetaci%C3%B3n+de+la+web+STO&amp;gs_lp=Egxnd3Mtd2l6LXNlcnAiM0NVQUwgZWwgY3B2IGRlIERpc2XDsW8geSBtYXF1ZXRhY2nDs24gZGUgbGEgd2ViIFNUTzIFECEYoAEyBRAhGKABMgUQIRigATIFECEYoAFI4hJQ5AZY5AZwAXgBkAEAmAGJAaABiQGqAQMwLjG4AQPIAQD4AQL4AQGYAgKgApMBwgIKEAAYsAMY1gQYR5gDAIgGAZAGApIHAzEuMaAHigSyBwMwLjG4B48BwgcDMC4yyAcE&amp;sclient=gws-wiz-serp&amp;mstk=AUtExfCxLzfikByJCI3d2pyl-8nPTce7_gPgUGg3oMJlszClTKXuzY7ZJzfEWtnPKq4DK0NUVPRZecOIBHgLjdKA6yzab5AiBGxiv_jFPG9HmGyDafDdim0TQJVcUwzGtE-4lFc&amp;csui=3" xr:uid="{DBDE52B2-2B57-4D3B-B454-0E6A81BF9A23}"/>
  </hyperlinks>
  <pageMargins left="0.7" right="0.7" top="0.75" bottom="0.75" header="0.3" footer="0.3"/>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D7AE0-DF94-4BDD-8143-FCE9B80A9A38}">
  <dimension ref="A1:G40"/>
  <sheetViews>
    <sheetView workbookViewId="0">
      <selection activeCell="H18" sqref="H18"/>
    </sheetView>
  </sheetViews>
  <sheetFormatPr baseColWidth="10" defaultRowHeight="16.2" x14ac:dyDescent="0.35"/>
  <cols>
    <col min="1" max="1" width="34.81640625" customWidth="1"/>
    <col min="2" max="2" width="8.26953125" style="214" customWidth="1"/>
    <col min="3" max="3" width="7.6328125" style="215" customWidth="1"/>
    <col min="4" max="4" width="12.6328125" bestFit="1" customWidth="1"/>
    <col min="5" max="5" width="7.6328125" customWidth="1"/>
  </cols>
  <sheetData>
    <row r="1" spans="1:5" x14ac:dyDescent="0.35">
      <c r="A1" s="213" t="s">
        <v>803</v>
      </c>
    </row>
    <row r="3" spans="1:5" ht="46.8" x14ac:dyDescent="0.35">
      <c r="A3" s="216" t="s">
        <v>804</v>
      </c>
      <c r="B3" s="216" t="s">
        <v>805</v>
      </c>
      <c r="C3" s="216" t="s">
        <v>806</v>
      </c>
      <c r="D3" s="216" t="s">
        <v>807</v>
      </c>
      <c r="E3" s="216" t="s">
        <v>806</v>
      </c>
    </row>
    <row r="4" spans="1:5" x14ac:dyDescent="0.35">
      <c r="A4" s="217" t="s">
        <v>808</v>
      </c>
      <c r="B4" s="218">
        <v>4</v>
      </c>
      <c r="C4" s="219">
        <f>+B4/$B$40</f>
        <v>1.2232415902140673E-2</v>
      </c>
      <c r="D4" s="220">
        <v>561181.65</v>
      </c>
      <c r="E4" s="221">
        <f>+D4/$D$40</f>
        <v>2.9940095802615144E-3</v>
      </c>
    </row>
    <row r="5" spans="1:5" x14ac:dyDescent="0.35">
      <c r="A5" s="217" t="s">
        <v>809</v>
      </c>
      <c r="B5" s="218">
        <v>1</v>
      </c>
      <c r="C5" s="219">
        <f t="shared" ref="C5:C39" si="0">+B5/$B$40</f>
        <v>3.0581039755351682E-3</v>
      </c>
      <c r="D5" s="220">
        <v>380000</v>
      </c>
      <c r="E5" s="221">
        <f t="shared" ref="E5:E39" si="1">+D5/$D$40</f>
        <v>2.0273714233160966E-3</v>
      </c>
    </row>
    <row r="6" spans="1:5" x14ac:dyDescent="0.35">
      <c r="A6" s="217" t="s">
        <v>810</v>
      </c>
      <c r="B6" s="218">
        <v>9</v>
      </c>
      <c r="C6" s="219">
        <f t="shared" si="0"/>
        <v>2.7522935779816515E-2</v>
      </c>
      <c r="D6" s="220">
        <v>590505</v>
      </c>
      <c r="E6" s="221">
        <f t="shared" si="1"/>
        <v>3.1504551640138723E-3</v>
      </c>
    </row>
    <row r="7" spans="1:5" x14ac:dyDescent="0.35">
      <c r="A7" s="217" t="s">
        <v>811</v>
      </c>
      <c r="B7" s="218">
        <v>1</v>
      </c>
      <c r="C7" s="219">
        <f t="shared" si="0"/>
        <v>3.0581039755351682E-3</v>
      </c>
      <c r="D7" s="220">
        <v>151680</v>
      </c>
      <c r="E7" s="221">
        <f t="shared" si="1"/>
        <v>8.0924130918048822E-4</v>
      </c>
    </row>
    <row r="8" spans="1:5" x14ac:dyDescent="0.35">
      <c r="A8" s="217" t="s">
        <v>812</v>
      </c>
      <c r="B8" s="218">
        <v>4</v>
      </c>
      <c r="C8" s="219">
        <f t="shared" si="0"/>
        <v>1.2232415902140673E-2</v>
      </c>
      <c r="D8" s="220">
        <v>1810773.95</v>
      </c>
      <c r="E8" s="221">
        <f t="shared" si="1"/>
        <v>9.6608193692505531E-3</v>
      </c>
    </row>
    <row r="9" spans="1:5" x14ac:dyDescent="0.35">
      <c r="A9" s="217" t="s">
        <v>813</v>
      </c>
      <c r="B9" s="218">
        <v>27</v>
      </c>
      <c r="C9" s="219">
        <f t="shared" si="0"/>
        <v>8.2568807339449546E-2</v>
      </c>
      <c r="D9" s="220">
        <v>4256670.0200000005</v>
      </c>
      <c r="E9" s="221">
        <f t="shared" si="1"/>
        <v>2.2710134623774626E-2</v>
      </c>
    </row>
    <row r="10" spans="1:5" x14ac:dyDescent="0.35">
      <c r="A10" s="217" t="s">
        <v>814</v>
      </c>
      <c r="B10" s="218">
        <v>26</v>
      </c>
      <c r="C10" s="219">
        <f t="shared" si="0"/>
        <v>7.9510703363914373E-2</v>
      </c>
      <c r="D10" s="220">
        <v>11236278.498925621</v>
      </c>
      <c r="E10" s="221">
        <f t="shared" si="1"/>
        <v>5.9947657718797072E-2</v>
      </c>
    </row>
    <row r="11" spans="1:5" x14ac:dyDescent="0.35">
      <c r="A11" s="217" t="s">
        <v>815</v>
      </c>
      <c r="B11" s="218">
        <v>12</v>
      </c>
      <c r="C11" s="219">
        <f t="shared" si="0"/>
        <v>3.669724770642202E-2</v>
      </c>
      <c r="D11" s="220">
        <v>842519.37</v>
      </c>
      <c r="E11" s="221">
        <f t="shared" si="1"/>
        <v>4.4949991956007391E-3</v>
      </c>
    </row>
    <row r="12" spans="1:5" x14ac:dyDescent="0.35">
      <c r="A12" s="217" t="s">
        <v>816</v>
      </c>
      <c r="B12" s="218">
        <v>2</v>
      </c>
      <c r="C12" s="219">
        <f t="shared" si="0"/>
        <v>6.1162079510703364E-3</v>
      </c>
      <c r="D12" s="220">
        <v>83144</v>
      </c>
      <c r="E12" s="221">
        <f t="shared" si="1"/>
        <v>4.435888674215619E-4</v>
      </c>
    </row>
    <row r="13" spans="1:5" x14ac:dyDescent="0.35">
      <c r="A13" s="217" t="s">
        <v>817</v>
      </c>
      <c r="B13" s="218">
        <v>6</v>
      </c>
      <c r="C13" s="219">
        <f t="shared" si="0"/>
        <v>1.834862385321101E-2</v>
      </c>
      <c r="D13" s="220">
        <v>331645.83999999997</v>
      </c>
      <c r="E13" s="221">
        <f t="shared" si="1"/>
        <v>1.7693928912570062E-3</v>
      </c>
    </row>
    <row r="14" spans="1:5" x14ac:dyDescent="0.35">
      <c r="A14" s="217" t="s">
        <v>818</v>
      </c>
      <c r="B14" s="218">
        <v>2</v>
      </c>
      <c r="C14" s="219">
        <f t="shared" si="0"/>
        <v>6.1162079510703364E-3</v>
      </c>
      <c r="D14" s="220">
        <v>256611.57</v>
      </c>
      <c r="E14" s="221">
        <f t="shared" si="1"/>
        <v>1.3690709576586267E-3</v>
      </c>
    </row>
    <row r="15" spans="1:5" x14ac:dyDescent="0.35">
      <c r="A15" s="217" t="s">
        <v>819</v>
      </c>
      <c r="B15" s="218">
        <v>3</v>
      </c>
      <c r="C15" s="219">
        <f t="shared" si="0"/>
        <v>9.1743119266055051E-3</v>
      </c>
      <c r="D15" s="220">
        <v>94694.42</v>
      </c>
      <c r="E15" s="221">
        <f t="shared" si="1"/>
        <v>5.052125290934006E-4</v>
      </c>
    </row>
    <row r="16" spans="1:5" x14ac:dyDescent="0.35">
      <c r="A16" s="217" t="s">
        <v>820</v>
      </c>
      <c r="B16" s="218">
        <v>3</v>
      </c>
      <c r="C16" s="219">
        <f t="shared" si="0"/>
        <v>9.1743119266055051E-3</v>
      </c>
      <c r="D16" s="220">
        <v>364104.35371900827</v>
      </c>
      <c r="E16" s="221">
        <f t="shared" si="1"/>
        <v>1.9425651627234032E-3</v>
      </c>
    </row>
    <row r="17" spans="1:7" x14ac:dyDescent="0.35">
      <c r="A17" s="217" t="s">
        <v>821</v>
      </c>
      <c r="B17" s="218">
        <v>6</v>
      </c>
      <c r="C17" s="219">
        <f t="shared" si="0"/>
        <v>1.834862385321101E-2</v>
      </c>
      <c r="D17" s="220">
        <v>328892.45999999996</v>
      </c>
      <c r="E17" s="221">
        <f t="shared" si="1"/>
        <v>1.7547030914424533E-3</v>
      </c>
    </row>
    <row r="18" spans="1:7" x14ac:dyDescent="0.35">
      <c r="A18" s="217" t="s">
        <v>822</v>
      </c>
      <c r="B18" s="218">
        <v>1</v>
      </c>
      <c r="C18" s="219">
        <f t="shared" si="0"/>
        <v>3.0581039755351682E-3</v>
      </c>
      <c r="D18" s="220">
        <v>275752.95</v>
      </c>
      <c r="E18" s="221">
        <f t="shared" si="1"/>
        <v>1.4711938176976641E-3</v>
      </c>
    </row>
    <row r="19" spans="1:7" x14ac:dyDescent="0.35">
      <c r="A19" s="217" t="s">
        <v>823</v>
      </c>
      <c r="B19" s="218">
        <v>6</v>
      </c>
      <c r="C19" s="219">
        <f t="shared" si="0"/>
        <v>1.834862385321101E-2</v>
      </c>
      <c r="D19" s="220">
        <v>287314.63</v>
      </c>
      <c r="E19" s="221">
        <f t="shared" si="1"/>
        <v>1.5328775535858885E-3</v>
      </c>
    </row>
    <row r="20" spans="1:7" x14ac:dyDescent="0.35">
      <c r="A20" s="217" t="s">
        <v>824</v>
      </c>
      <c r="B20" s="218">
        <v>8</v>
      </c>
      <c r="C20" s="219">
        <f t="shared" si="0"/>
        <v>2.4464831804281346E-2</v>
      </c>
      <c r="D20" s="220">
        <v>363806.16000000003</v>
      </c>
      <c r="E20" s="221">
        <f t="shared" si="1"/>
        <v>1.9409742431851674E-3</v>
      </c>
    </row>
    <row r="21" spans="1:7" x14ac:dyDescent="0.35">
      <c r="A21" s="217" t="s">
        <v>825</v>
      </c>
      <c r="B21" s="218">
        <v>1</v>
      </c>
      <c r="C21" s="219">
        <f t="shared" si="0"/>
        <v>3.0581039755351682E-3</v>
      </c>
      <c r="D21" s="220">
        <v>238000</v>
      </c>
      <c r="E21" s="221">
        <f t="shared" si="1"/>
        <v>1.2697747335506078E-3</v>
      </c>
    </row>
    <row r="22" spans="1:7" x14ac:dyDescent="0.35">
      <c r="A22" s="217" t="s">
        <v>826</v>
      </c>
      <c r="B22" s="218">
        <v>6</v>
      </c>
      <c r="C22" s="219">
        <f t="shared" si="0"/>
        <v>1.834862385321101E-2</v>
      </c>
      <c r="D22" s="220">
        <v>236688.6</v>
      </c>
      <c r="E22" s="221">
        <f t="shared" si="1"/>
        <v>1.2627781680649849E-3</v>
      </c>
    </row>
    <row r="23" spans="1:7" x14ac:dyDescent="0.35">
      <c r="A23" s="217" t="s">
        <v>827</v>
      </c>
      <c r="B23" s="218">
        <v>2</v>
      </c>
      <c r="C23" s="219">
        <f t="shared" si="0"/>
        <v>6.1162079510703364E-3</v>
      </c>
      <c r="D23" s="220">
        <v>60000</v>
      </c>
      <c r="E23" s="221">
        <f t="shared" si="1"/>
        <v>3.2011127736569946E-4</v>
      </c>
    </row>
    <row r="24" spans="1:7" x14ac:dyDescent="0.35">
      <c r="A24" s="217" t="s">
        <v>828</v>
      </c>
      <c r="B24" s="218">
        <v>4</v>
      </c>
      <c r="C24" s="219">
        <f t="shared" si="0"/>
        <v>1.2232415902140673E-2</v>
      </c>
      <c r="D24" s="220">
        <v>577697.3899999999</v>
      </c>
      <c r="E24" s="221">
        <f t="shared" si="1"/>
        <v>3.0821241573955101E-3</v>
      </c>
      <c r="G24" s="222"/>
    </row>
    <row r="25" spans="1:7" x14ac:dyDescent="0.35">
      <c r="A25" s="217" t="s">
        <v>388</v>
      </c>
      <c r="B25" s="218">
        <v>6</v>
      </c>
      <c r="C25" s="219">
        <f t="shared" si="0"/>
        <v>1.834862385321101E-2</v>
      </c>
      <c r="D25" s="220">
        <v>217818.08000000002</v>
      </c>
      <c r="E25" s="221">
        <f t="shared" si="1"/>
        <v>1.1621003970357353E-3</v>
      </c>
    </row>
    <row r="26" spans="1:7" x14ac:dyDescent="0.35">
      <c r="A26" s="217" t="s">
        <v>829</v>
      </c>
      <c r="B26" s="218">
        <v>7</v>
      </c>
      <c r="C26" s="219">
        <f t="shared" si="0"/>
        <v>2.1406727828746176E-2</v>
      </c>
      <c r="D26" s="220">
        <v>1730873.4049586777</v>
      </c>
      <c r="E26" s="221">
        <f t="shared" si="1"/>
        <v>9.2345349436606643E-3</v>
      </c>
    </row>
    <row r="27" spans="1:7" x14ac:dyDescent="0.35">
      <c r="A27" s="217" t="s">
        <v>830</v>
      </c>
      <c r="B27" s="218">
        <v>2</v>
      </c>
      <c r="C27" s="219">
        <f t="shared" si="0"/>
        <v>6.1162079510703364E-3</v>
      </c>
      <c r="D27" s="220">
        <v>755238.69</v>
      </c>
      <c r="E27" s="221">
        <f t="shared" si="1"/>
        <v>4.0293403628649579E-3</v>
      </c>
    </row>
    <row r="28" spans="1:7" x14ac:dyDescent="0.35">
      <c r="A28" s="217" t="s">
        <v>831</v>
      </c>
      <c r="B28" s="218">
        <v>48</v>
      </c>
      <c r="C28" s="219">
        <f t="shared" si="0"/>
        <v>0.14678899082568808</v>
      </c>
      <c r="D28" s="220">
        <v>11397970.592148758</v>
      </c>
      <c r="E28" s="221">
        <f t="shared" si="1"/>
        <v>6.0810315427156945E-2</v>
      </c>
    </row>
    <row r="29" spans="1:7" x14ac:dyDescent="0.35">
      <c r="A29" s="217" t="s">
        <v>832</v>
      </c>
      <c r="B29" s="218">
        <v>5</v>
      </c>
      <c r="C29" s="219">
        <f t="shared" si="0"/>
        <v>1.5290519877675841E-2</v>
      </c>
      <c r="D29" s="220">
        <v>550382.58000000007</v>
      </c>
      <c r="E29" s="221">
        <f t="shared" si="1"/>
        <v>2.9363945120604879E-3</v>
      </c>
    </row>
    <row r="30" spans="1:7" x14ac:dyDescent="0.35">
      <c r="A30" s="217" t="s">
        <v>833</v>
      </c>
      <c r="B30" s="218">
        <v>4</v>
      </c>
      <c r="C30" s="219">
        <f t="shared" si="0"/>
        <v>1.2232415902140673E-2</v>
      </c>
      <c r="D30" s="220">
        <v>5441282.9224793389</v>
      </c>
      <c r="E30" s="221">
        <f t="shared" si="1"/>
        <v>2.9030267113717121E-2</v>
      </c>
    </row>
    <row r="31" spans="1:7" x14ac:dyDescent="0.35">
      <c r="A31" s="217" t="s">
        <v>834</v>
      </c>
      <c r="B31" s="218">
        <v>8</v>
      </c>
      <c r="C31" s="219">
        <f t="shared" si="0"/>
        <v>2.4464831804281346E-2</v>
      </c>
      <c r="D31" s="220">
        <v>859356.94</v>
      </c>
      <c r="E31" s="221">
        <f t="shared" si="1"/>
        <v>4.584830796274645E-3</v>
      </c>
    </row>
    <row r="32" spans="1:7" x14ac:dyDescent="0.35">
      <c r="A32" s="217" t="s">
        <v>835</v>
      </c>
      <c r="B32" s="218">
        <v>13</v>
      </c>
      <c r="C32" s="219">
        <f t="shared" si="0"/>
        <v>3.9755351681957186E-2</v>
      </c>
      <c r="D32" s="220">
        <v>1487333.06</v>
      </c>
      <c r="E32" s="221">
        <f t="shared" si="1"/>
        <v>7.9352014284139079E-3</v>
      </c>
    </row>
    <row r="33" spans="1:5" x14ac:dyDescent="0.35">
      <c r="A33" s="217" t="s">
        <v>836</v>
      </c>
      <c r="B33" s="218">
        <v>22</v>
      </c>
      <c r="C33" s="219">
        <f t="shared" si="0"/>
        <v>6.7278287461773695E-2</v>
      </c>
      <c r="D33" s="220">
        <v>3368158.7685950408</v>
      </c>
      <c r="E33" s="221">
        <f t="shared" si="1"/>
        <v>1.7969760096423995E-2</v>
      </c>
    </row>
    <row r="34" spans="1:5" x14ac:dyDescent="0.35">
      <c r="A34" s="217" t="s">
        <v>837</v>
      </c>
      <c r="B34" s="218">
        <v>4</v>
      </c>
      <c r="C34" s="219">
        <f t="shared" si="0"/>
        <v>1.2232415902140673E-2</v>
      </c>
      <c r="D34" s="220">
        <v>60000</v>
      </c>
      <c r="E34" s="221">
        <f t="shared" si="1"/>
        <v>3.2011127736569946E-4</v>
      </c>
    </row>
    <row r="35" spans="1:5" x14ac:dyDescent="0.35">
      <c r="A35" s="217" t="s">
        <v>838</v>
      </c>
      <c r="B35" s="218">
        <v>7</v>
      </c>
      <c r="C35" s="219">
        <f t="shared" si="0"/>
        <v>2.1406727828746176E-2</v>
      </c>
      <c r="D35" s="220">
        <v>7834756.7000000002</v>
      </c>
      <c r="E35" s="221">
        <f t="shared" si="1"/>
        <v>4.1799899584774536E-2</v>
      </c>
    </row>
    <row r="36" spans="1:5" x14ac:dyDescent="0.35">
      <c r="A36" s="217" t="s">
        <v>839</v>
      </c>
      <c r="B36" s="218">
        <v>1</v>
      </c>
      <c r="C36" s="219">
        <f t="shared" si="0"/>
        <v>3.0581039755351682E-3</v>
      </c>
      <c r="D36" s="220">
        <v>270000</v>
      </c>
      <c r="E36" s="221">
        <f t="shared" si="1"/>
        <v>1.4405007481456474E-3</v>
      </c>
    </row>
    <row r="37" spans="1:5" ht="31.2" x14ac:dyDescent="0.35">
      <c r="A37" s="223" t="s">
        <v>840</v>
      </c>
      <c r="B37" s="218">
        <v>18</v>
      </c>
      <c r="C37" s="219">
        <f t="shared" si="0"/>
        <v>5.5045871559633031E-2</v>
      </c>
      <c r="D37" s="220">
        <v>4694220.6131404955</v>
      </c>
      <c r="E37" s="221">
        <f t="shared" si="1"/>
        <v>2.5044549278480013E-2</v>
      </c>
    </row>
    <row r="38" spans="1:5" x14ac:dyDescent="0.35">
      <c r="A38" s="217" t="s">
        <v>841</v>
      </c>
      <c r="B38" s="218">
        <v>39</v>
      </c>
      <c r="C38" s="219">
        <f t="shared" si="0"/>
        <v>0.11926605504587157</v>
      </c>
      <c r="D38" s="220">
        <v>124507243.00000001</v>
      </c>
      <c r="E38" s="221">
        <f t="shared" si="1"/>
        <v>0.66426954330019239</v>
      </c>
    </row>
    <row r="39" spans="1:5" x14ac:dyDescent="0.35">
      <c r="A39" s="217" t="s">
        <v>842</v>
      </c>
      <c r="B39" s="218">
        <v>9</v>
      </c>
      <c r="C39" s="219">
        <f t="shared" si="0"/>
        <v>2.7522935779816515E-2</v>
      </c>
      <c r="D39" s="220">
        <v>932224.87</v>
      </c>
      <c r="E39" s="221">
        <f t="shared" si="1"/>
        <v>4.9735948987962185E-3</v>
      </c>
    </row>
    <row r="40" spans="1:5" x14ac:dyDescent="0.35">
      <c r="A40" s="224" t="s">
        <v>843</v>
      </c>
      <c r="B40" s="225">
        <f>SUM(B4:B39)</f>
        <v>327</v>
      </c>
      <c r="C40" s="226">
        <f>SUM(C4:C39)</f>
        <v>1</v>
      </c>
      <c r="D40" s="227">
        <f>SUM(D4:D39)</f>
        <v>187434821.08396697</v>
      </c>
      <c r="E40" s="228">
        <f>SUM(E4:E39)</f>
        <v>0.99999999999999989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AF100-979F-486B-9E8D-A77F03024057}">
  <dimension ref="B1:F1000"/>
  <sheetViews>
    <sheetView workbookViewId="0">
      <selection activeCell="I25" sqref="I25"/>
    </sheetView>
  </sheetViews>
  <sheetFormatPr baseColWidth="10" defaultColWidth="11.81640625" defaultRowHeight="15" customHeight="1" x14ac:dyDescent="0.25"/>
  <cols>
    <col min="1" max="1" width="8.7265625" style="229" customWidth="1"/>
    <col min="2" max="2" width="21.90625" style="229" customWidth="1"/>
    <col min="3" max="3" width="11.6328125" style="229" customWidth="1"/>
    <col min="4" max="4" width="9.08984375" style="229" customWidth="1"/>
    <col min="5" max="5" width="8.7265625" style="229" customWidth="1"/>
    <col min="6" max="6" width="11.453125" style="229" customWidth="1"/>
    <col min="7" max="26" width="8.7265625" style="229" customWidth="1"/>
    <col min="27" max="16384" width="11.81640625" style="229"/>
  </cols>
  <sheetData>
    <row r="1" spans="2:6" ht="14.25" customHeight="1" x14ac:dyDescent="0.25"/>
    <row r="2" spans="2:6" ht="14.25" customHeight="1" x14ac:dyDescent="0.25">
      <c r="B2" s="230" t="s">
        <v>844</v>
      </c>
      <c r="C2" s="230"/>
      <c r="D2" s="230"/>
      <c r="E2" s="230"/>
    </row>
    <row r="3" spans="2:6" ht="14.25" customHeight="1" x14ac:dyDescent="0.25">
      <c r="B3" s="231"/>
      <c r="C3" s="232"/>
      <c r="D3" s="233"/>
    </row>
    <row r="4" spans="2:6" ht="14.25" customHeight="1" x14ac:dyDescent="0.25">
      <c r="B4" s="234" t="s">
        <v>804</v>
      </c>
      <c r="C4" s="235" t="s">
        <v>845</v>
      </c>
      <c r="D4" s="236" t="s">
        <v>806</v>
      </c>
    </row>
    <row r="5" spans="2:6" ht="14.25" customHeight="1" x14ac:dyDescent="0.25">
      <c r="B5" s="237" t="s">
        <v>846</v>
      </c>
      <c r="C5" s="238">
        <v>1701876.31</v>
      </c>
      <c r="D5" s="239">
        <f>+C5/$C$10</f>
        <v>9.0798299922597251E-3</v>
      </c>
    </row>
    <row r="6" spans="2:6" ht="14.25" customHeight="1" x14ac:dyDescent="0.25">
      <c r="B6" s="237" t="s">
        <v>847</v>
      </c>
      <c r="C6" s="238">
        <v>124507243.00000001</v>
      </c>
      <c r="D6" s="239">
        <f t="shared" ref="D6:D9" si="0">+C6/$C$10</f>
        <v>0.66426954332831023</v>
      </c>
    </row>
    <row r="7" spans="2:6" ht="14.25" customHeight="1" x14ac:dyDescent="0.25">
      <c r="B7" s="237" t="s">
        <v>848</v>
      </c>
      <c r="C7" s="238">
        <v>8939348.9971074369</v>
      </c>
      <c r="D7" s="239">
        <f t="shared" si="0"/>
        <v>4.7693107106716232E-2</v>
      </c>
    </row>
    <row r="8" spans="2:6" ht="25.2" x14ac:dyDescent="0.25">
      <c r="B8" s="237" t="s">
        <v>849</v>
      </c>
      <c r="C8" s="240">
        <v>17553253.358925622</v>
      </c>
      <c r="D8" s="239">
        <f t="shared" si="0"/>
        <v>9.3649905914788015E-2</v>
      </c>
    </row>
    <row r="9" spans="2:6" ht="14.25" customHeight="1" x14ac:dyDescent="0.25">
      <c r="B9" s="237" t="s">
        <v>850</v>
      </c>
      <c r="C9" s="238">
        <v>34733099.409999996</v>
      </c>
      <c r="D9" s="239">
        <f t="shared" si="0"/>
        <v>0.18530761365792589</v>
      </c>
      <c r="F9" s="241"/>
    </row>
    <row r="10" spans="2:6" ht="14.25" customHeight="1" x14ac:dyDescent="0.25">
      <c r="B10" s="242" t="s">
        <v>843</v>
      </c>
      <c r="C10" s="243">
        <f>SUM(C5:C9)</f>
        <v>187434821.07603306</v>
      </c>
      <c r="D10" s="244">
        <f>SUM(D5:D9)</f>
        <v>1.0000000000000002</v>
      </c>
      <c r="F10" s="241"/>
    </row>
    <row r="11" spans="2:6" ht="14.25" customHeight="1" x14ac:dyDescent="0.25"/>
    <row r="12" spans="2:6" ht="14.25" customHeight="1" x14ac:dyDescent="0.25"/>
    <row r="13" spans="2:6" ht="14.25" customHeight="1" x14ac:dyDescent="0.25"/>
    <row r="14" spans="2:6" ht="14.25" customHeight="1" x14ac:dyDescent="0.25">
      <c r="B14" s="245" t="s">
        <v>851</v>
      </c>
      <c r="C14" s="246"/>
      <c r="D14" s="246"/>
    </row>
    <row r="15" spans="2:6" ht="14.25" customHeight="1" x14ac:dyDescent="0.25">
      <c r="B15" s="245" t="s">
        <v>852</v>
      </c>
      <c r="C15" s="245"/>
      <c r="D15" s="245"/>
      <c r="E15" s="245"/>
    </row>
    <row r="16" spans="2:6" s="248" customFormat="1" ht="25.2" customHeight="1" x14ac:dyDescent="0.25">
      <c r="B16" s="247" t="s">
        <v>853</v>
      </c>
      <c r="C16" s="247"/>
      <c r="D16" s="247"/>
      <c r="E16" s="247"/>
    </row>
    <row r="17" spans="2:5" ht="14.25" customHeight="1" x14ac:dyDescent="0.25">
      <c r="B17" s="247" t="s">
        <v>854</v>
      </c>
      <c r="C17" s="247"/>
      <c r="D17" s="247"/>
      <c r="E17" s="247"/>
    </row>
    <row r="18" spans="2:5" ht="14.25" customHeight="1" x14ac:dyDescent="0.25">
      <c r="B18" s="247"/>
      <c r="C18" s="247"/>
      <c r="D18" s="247"/>
      <c r="E18" s="247"/>
    </row>
    <row r="19" spans="2:5" ht="14.25" customHeight="1" x14ac:dyDescent="0.25">
      <c r="B19" s="249" t="s">
        <v>855</v>
      </c>
      <c r="C19" s="249"/>
      <c r="D19" s="249"/>
    </row>
    <row r="20" spans="2:5" ht="14.25" customHeight="1" x14ac:dyDescent="0.25"/>
    <row r="21" spans="2:5" ht="14.25" customHeight="1" x14ac:dyDescent="0.25"/>
    <row r="22" spans="2:5" ht="14.25" customHeight="1" x14ac:dyDescent="0.25"/>
    <row r="23" spans="2:5" ht="14.25" customHeight="1" x14ac:dyDescent="0.25"/>
    <row r="24" spans="2:5" ht="14.25" customHeight="1" x14ac:dyDescent="0.25"/>
    <row r="25" spans="2:5" ht="14.25" customHeight="1" x14ac:dyDescent="0.25"/>
    <row r="26" spans="2:5" ht="14.25" customHeight="1" x14ac:dyDescent="0.25"/>
    <row r="27" spans="2:5" ht="14.25" customHeight="1" x14ac:dyDescent="0.25"/>
    <row r="28" spans="2:5" ht="14.25" customHeight="1" x14ac:dyDescent="0.25"/>
    <row r="29" spans="2:5" ht="14.25" customHeight="1" x14ac:dyDescent="0.25"/>
    <row r="30" spans="2:5" ht="14.25" customHeight="1" x14ac:dyDescent="0.25"/>
    <row r="31" spans="2:5" ht="14.25" customHeight="1" x14ac:dyDescent="0.25"/>
    <row r="32" spans="2:5"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mergeCells count="4">
    <mergeCell ref="B2:E2"/>
    <mergeCell ref="B16:E16"/>
    <mergeCell ref="B17:E18"/>
    <mergeCell ref="B19:D19"/>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8DF09-1B89-43E2-9F14-79706A742B89}">
  <dimension ref="A1:BG810"/>
  <sheetViews>
    <sheetView tabSelected="1" workbookViewId="0">
      <selection activeCell="K5" sqref="K5"/>
    </sheetView>
  </sheetViews>
  <sheetFormatPr baseColWidth="10" defaultRowHeight="15.6" x14ac:dyDescent="0.35"/>
  <cols>
    <col min="1" max="1" width="22.08984375" style="33" customWidth="1"/>
    <col min="2" max="2" width="11" style="33" customWidth="1"/>
    <col min="3" max="3" width="34.54296875" style="252" customWidth="1"/>
    <col min="4" max="4" width="15.54296875" style="253" customWidth="1"/>
    <col min="5" max="5" width="10.90625" style="33"/>
    <col min="6" max="6" width="11.26953125" style="33" customWidth="1"/>
    <col min="7" max="8" width="10.90625" style="33"/>
    <col min="9" max="9" width="12.6328125" style="33" customWidth="1"/>
    <col min="10" max="16384" width="10.90625" style="251"/>
  </cols>
  <sheetData>
    <row r="1" spans="1:9" ht="17.7" customHeight="1" x14ac:dyDescent="0.35">
      <c r="A1" s="250" t="s">
        <v>856</v>
      </c>
      <c r="B1" s="250"/>
      <c r="C1" s="250"/>
      <c r="D1" s="250"/>
      <c r="E1" s="250"/>
      <c r="F1" s="250"/>
      <c r="G1" s="250"/>
      <c r="H1" s="250"/>
      <c r="I1" s="250"/>
    </row>
    <row r="2" spans="1:9" x14ac:dyDescent="0.35">
      <c r="E2" s="31"/>
    </row>
    <row r="3" spans="1:9" ht="22.35" customHeight="1" x14ac:dyDescent="0.35">
      <c r="A3" s="254" t="s">
        <v>857</v>
      </c>
      <c r="B3" s="254" t="s">
        <v>2</v>
      </c>
      <c r="C3" s="254" t="s">
        <v>4</v>
      </c>
      <c r="D3" s="254" t="s">
        <v>5</v>
      </c>
      <c r="E3" s="254" t="s">
        <v>6</v>
      </c>
      <c r="F3" s="254" t="s">
        <v>8</v>
      </c>
      <c r="G3" s="254" t="s">
        <v>9</v>
      </c>
      <c r="H3" s="254" t="s">
        <v>10</v>
      </c>
      <c r="I3" s="254" t="s">
        <v>11</v>
      </c>
    </row>
    <row r="4" spans="1:9" ht="43.95" customHeight="1" x14ac:dyDescent="0.35">
      <c r="A4" s="254"/>
      <c r="B4" s="254"/>
      <c r="C4" s="254"/>
      <c r="D4" s="254"/>
      <c r="E4" s="254"/>
      <c r="F4" s="254"/>
      <c r="G4" s="254"/>
      <c r="H4" s="254"/>
      <c r="I4" s="254"/>
    </row>
    <row r="5" spans="1:9" ht="45" customHeight="1" x14ac:dyDescent="0.35">
      <c r="A5" s="149" t="s">
        <v>858</v>
      </c>
      <c r="B5" s="149" t="s">
        <v>859</v>
      </c>
      <c r="C5" s="255" t="s">
        <v>860</v>
      </c>
      <c r="D5" s="256">
        <v>887497.49</v>
      </c>
      <c r="E5" s="149" t="s">
        <v>14</v>
      </c>
      <c r="F5" s="149" t="s">
        <v>861</v>
      </c>
      <c r="G5" s="149" t="s">
        <v>18</v>
      </c>
      <c r="H5" s="149" t="s">
        <v>72</v>
      </c>
      <c r="I5" s="149" t="s">
        <v>14</v>
      </c>
    </row>
    <row r="6" spans="1:9" ht="78" customHeight="1" x14ac:dyDescent="0.35">
      <c r="A6" s="149" t="s">
        <v>858</v>
      </c>
      <c r="B6" s="149" t="s">
        <v>859</v>
      </c>
      <c r="C6" s="257" t="s">
        <v>862</v>
      </c>
      <c r="D6" s="256">
        <v>6865787.3499999996</v>
      </c>
      <c r="E6" s="149" t="s">
        <v>14</v>
      </c>
      <c r="F6" s="149" t="s">
        <v>861</v>
      </c>
      <c r="G6" s="149" t="s">
        <v>24</v>
      </c>
      <c r="H6" s="149" t="s">
        <v>72</v>
      </c>
      <c r="I6" s="149" t="s">
        <v>14</v>
      </c>
    </row>
    <row r="7" spans="1:9" ht="114" customHeight="1" x14ac:dyDescent="0.35">
      <c r="A7" s="149" t="s">
        <v>863</v>
      </c>
      <c r="B7" s="149" t="s">
        <v>859</v>
      </c>
      <c r="C7" s="257" t="s">
        <v>864</v>
      </c>
      <c r="D7" s="256">
        <v>2500</v>
      </c>
      <c r="E7" s="149" t="s">
        <v>14</v>
      </c>
      <c r="F7" s="149" t="s">
        <v>865</v>
      </c>
      <c r="G7" s="149" t="s">
        <v>18</v>
      </c>
      <c r="H7" s="149" t="s">
        <v>72</v>
      </c>
      <c r="I7" s="149" t="s">
        <v>14</v>
      </c>
    </row>
    <row r="8" spans="1:9" ht="64.2" customHeight="1" x14ac:dyDescent="0.35">
      <c r="A8" s="149" t="s">
        <v>858</v>
      </c>
      <c r="B8" s="149" t="s">
        <v>859</v>
      </c>
      <c r="C8" s="255" t="s">
        <v>866</v>
      </c>
      <c r="D8" s="256">
        <v>42000</v>
      </c>
      <c r="E8" s="149" t="s">
        <v>14</v>
      </c>
      <c r="F8" s="149" t="s">
        <v>867</v>
      </c>
      <c r="G8" s="149" t="s">
        <v>24</v>
      </c>
      <c r="H8" s="149" t="s">
        <v>72</v>
      </c>
      <c r="I8" s="149" t="s">
        <v>14</v>
      </c>
    </row>
    <row r="9" spans="1:9" ht="51" customHeight="1" x14ac:dyDescent="0.35">
      <c r="A9" s="149" t="s">
        <v>863</v>
      </c>
      <c r="B9" s="149" t="s">
        <v>13</v>
      </c>
      <c r="C9" s="255" t="s">
        <v>868</v>
      </c>
      <c r="D9" s="256">
        <v>22000</v>
      </c>
      <c r="E9" s="149" t="s">
        <v>14</v>
      </c>
      <c r="F9" s="149" t="s">
        <v>869</v>
      </c>
      <c r="G9" s="149" t="s">
        <v>18</v>
      </c>
      <c r="H9" s="149" t="s">
        <v>14</v>
      </c>
      <c r="I9" s="149" t="s">
        <v>14</v>
      </c>
    </row>
    <row r="10" spans="1:9" ht="40.200000000000003" customHeight="1" x14ac:dyDescent="0.35">
      <c r="A10" s="149" t="s">
        <v>858</v>
      </c>
      <c r="B10" s="149" t="s">
        <v>859</v>
      </c>
      <c r="C10" s="255" t="s">
        <v>870</v>
      </c>
      <c r="D10" s="256">
        <v>76000</v>
      </c>
      <c r="E10" s="149" t="s">
        <v>14</v>
      </c>
      <c r="F10" s="149" t="s">
        <v>871</v>
      </c>
      <c r="G10" s="149" t="s">
        <v>18</v>
      </c>
      <c r="H10" s="149" t="s">
        <v>72</v>
      </c>
      <c r="I10" s="149" t="s">
        <v>14</v>
      </c>
    </row>
    <row r="11" spans="1:9" ht="40.200000000000003" customHeight="1" x14ac:dyDescent="0.35">
      <c r="A11" s="149" t="s">
        <v>863</v>
      </c>
      <c r="B11" s="149" t="s">
        <v>859</v>
      </c>
      <c r="C11" s="255" t="s">
        <v>872</v>
      </c>
      <c r="D11" s="256">
        <v>35000</v>
      </c>
      <c r="E11" s="149" t="s">
        <v>14</v>
      </c>
      <c r="F11" s="149" t="s">
        <v>873</v>
      </c>
      <c r="G11" s="149" t="s">
        <v>24</v>
      </c>
      <c r="H11" s="149" t="s">
        <v>14</v>
      </c>
      <c r="I11" s="149" t="s">
        <v>14</v>
      </c>
    </row>
    <row r="12" spans="1:9" ht="40.200000000000003" customHeight="1" x14ac:dyDescent="0.35">
      <c r="A12" s="149" t="s">
        <v>863</v>
      </c>
      <c r="B12" s="149" t="s">
        <v>859</v>
      </c>
      <c r="C12" s="255" t="s">
        <v>874</v>
      </c>
      <c r="D12" s="256">
        <v>17000</v>
      </c>
      <c r="E12" s="149" t="s">
        <v>14</v>
      </c>
      <c r="F12" s="149" t="s">
        <v>875</v>
      </c>
      <c r="G12" s="149" t="s">
        <v>18</v>
      </c>
      <c r="H12" s="149" t="s">
        <v>72</v>
      </c>
      <c r="I12" s="149" t="s">
        <v>14</v>
      </c>
    </row>
    <row r="13" spans="1:9" ht="63.6" customHeight="1" x14ac:dyDescent="0.35">
      <c r="A13" s="149" t="s">
        <v>863</v>
      </c>
      <c r="B13" s="149" t="s">
        <v>859</v>
      </c>
      <c r="C13" s="257" t="s">
        <v>876</v>
      </c>
      <c r="D13" s="256">
        <v>7000</v>
      </c>
      <c r="E13" s="149" t="s">
        <v>14</v>
      </c>
      <c r="F13" s="149" t="s">
        <v>877</v>
      </c>
      <c r="G13" s="149" t="s">
        <v>24</v>
      </c>
      <c r="H13" s="149" t="s">
        <v>72</v>
      </c>
      <c r="I13" s="149" t="s">
        <v>14</v>
      </c>
    </row>
    <row r="14" spans="1:9" ht="42" customHeight="1" x14ac:dyDescent="0.35">
      <c r="A14" s="149" t="s">
        <v>863</v>
      </c>
      <c r="B14" s="149" t="s">
        <v>13</v>
      </c>
      <c r="C14" s="255" t="s">
        <v>878</v>
      </c>
      <c r="D14" s="256">
        <v>38000</v>
      </c>
      <c r="E14" s="149" t="s">
        <v>14</v>
      </c>
      <c r="F14" s="149" t="s">
        <v>879</v>
      </c>
      <c r="G14" s="149" t="s">
        <v>24</v>
      </c>
      <c r="H14" s="149" t="s">
        <v>72</v>
      </c>
      <c r="I14" s="149" t="s">
        <v>14</v>
      </c>
    </row>
    <row r="15" spans="1:9" ht="49.2" customHeight="1" x14ac:dyDescent="0.35">
      <c r="A15" s="149" t="s">
        <v>858</v>
      </c>
      <c r="B15" s="149" t="s">
        <v>859</v>
      </c>
      <c r="C15" s="257" t="s">
        <v>880</v>
      </c>
      <c r="D15" s="256">
        <v>125000</v>
      </c>
      <c r="E15" s="149" t="s">
        <v>14</v>
      </c>
      <c r="F15" s="149" t="s">
        <v>881</v>
      </c>
      <c r="G15" s="149" t="s">
        <v>187</v>
      </c>
      <c r="H15" s="149" t="s">
        <v>72</v>
      </c>
      <c r="I15" s="149" t="s">
        <v>14</v>
      </c>
    </row>
    <row r="16" spans="1:9" ht="40.200000000000003" customHeight="1" x14ac:dyDescent="0.35">
      <c r="A16" s="149" t="s">
        <v>863</v>
      </c>
      <c r="B16" s="149" t="s">
        <v>859</v>
      </c>
      <c r="C16" s="255" t="s">
        <v>882</v>
      </c>
      <c r="D16" s="256">
        <v>45000</v>
      </c>
      <c r="E16" s="149" t="s">
        <v>14</v>
      </c>
      <c r="F16" s="149" t="s">
        <v>883</v>
      </c>
      <c r="G16" s="149" t="s">
        <v>24</v>
      </c>
      <c r="H16" s="149" t="s">
        <v>72</v>
      </c>
      <c r="I16" s="149" t="s">
        <v>14</v>
      </c>
    </row>
    <row r="17" spans="1:59" ht="48.6" customHeight="1" x14ac:dyDescent="0.35">
      <c r="A17" s="149" t="s">
        <v>863</v>
      </c>
      <c r="B17" s="149" t="s">
        <v>13</v>
      </c>
      <c r="C17" s="255" t="s">
        <v>884</v>
      </c>
      <c r="D17" s="256">
        <v>3500</v>
      </c>
      <c r="E17" s="149" t="s">
        <v>14</v>
      </c>
      <c r="F17" s="149" t="s">
        <v>885</v>
      </c>
      <c r="G17" s="149" t="s">
        <v>24</v>
      </c>
      <c r="H17" s="149" t="s">
        <v>14</v>
      </c>
      <c r="I17" s="149" t="s">
        <v>14</v>
      </c>
    </row>
    <row r="18" spans="1:59" ht="47.4" customHeight="1" x14ac:dyDescent="0.35">
      <c r="A18" s="149" t="s">
        <v>863</v>
      </c>
      <c r="B18" s="149" t="s">
        <v>859</v>
      </c>
      <c r="C18" s="255" t="s">
        <v>886</v>
      </c>
      <c r="D18" s="256">
        <v>3900</v>
      </c>
      <c r="E18" s="149" t="s">
        <v>14</v>
      </c>
      <c r="F18" s="149" t="s">
        <v>424</v>
      </c>
      <c r="G18" s="149" t="s">
        <v>24</v>
      </c>
      <c r="H18" s="149" t="s">
        <v>72</v>
      </c>
      <c r="I18" s="149" t="s">
        <v>14</v>
      </c>
    </row>
    <row r="19" spans="1:59" ht="45.6" customHeight="1" x14ac:dyDescent="0.35">
      <c r="A19" s="149" t="s">
        <v>858</v>
      </c>
      <c r="B19" s="149" t="s">
        <v>160</v>
      </c>
      <c r="C19" s="255" t="s">
        <v>887</v>
      </c>
      <c r="D19" s="256">
        <v>150000</v>
      </c>
      <c r="E19" s="149" t="s">
        <v>14</v>
      </c>
      <c r="F19" s="149" t="s">
        <v>888</v>
      </c>
      <c r="G19" s="149" t="s">
        <v>889</v>
      </c>
      <c r="H19" s="149" t="s">
        <v>72</v>
      </c>
      <c r="I19" s="149" t="s">
        <v>14</v>
      </c>
    </row>
    <row r="20" spans="1:59" ht="47.4" customHeight="1" x14ac:dyDescent="0.35">
      <c r="A20" s="149" t="s">
        <v>863</v>
      </c>
      <c r="B20" s="149" t="s">
        <v>859</v>
      </c>
      <c r="C20" s="255" t="s">
        <v>890</v>
      </c>
      <c r="D20" s="256">
        <v>5000</v>
      </c>
      <c r="E20" s="149" t="s">
        <v>14</v>
      </c>
      <c r="F20" s="149" t="s">
        <v>891</v>
      </c>
      <c r="G20" s="149" t="s">
        <v>889</v>
      </c>
      <c r="H20" s="149" t="s">
        <v>72</v>
      </c>
      <c r="I20" s="149" t="s">
        <v>14</v>
      </c>
    </row>
    <row r="21" spans="1:59" ht="40.200000000000003" customHeight="1" x14ac:dyDescent="0.35">
      <c r="A21" s="149" t="s">
        <v>858</v>
      </c>
      <c r="B21" s="149" t="s">
        <v>859</v>
      </c>
      <c r="C21" s="255" t="s">
        <v>892</v>
      </c>
      <c r="D21" s="256">
        <v>86000</v>
      </c>
      <c r="E21" s="149" t="s">
        <v>14</v>
      </c>
      <c r="F21" s="149" t="s">
        <v>117</v>
      </c>
      <c r="G21" s="149" t="s">
        <v>889</v>
      </c>
      <c r="H21" s="149" t="s">
        <v>14</v>
      </c>
      <c r="I21" s="149" t="s">
        <v>14</v>
      </c>
    </row>
    <row r="22" spans="1:59" ht="45.6" customHeight="1" x14ac:dyDescent="0.35">
      <c r="A22" s="149" t="s">
        <v>863</v>
      </c>
      <c r="B22" s="149" t="s">
        <v>13</v>
      </c>
      <c r="C22" s="258" t="s">
        <v>893</v>
      </c>
      <c r="D22" s="256">
        <v>6300</v>
      </c>
      <c r="E22" s="149" t="s">
        <v>14</v>
      </c>
      <c r="F22" s="149" t="s">
        <v>894</v>
      </c>
      <c r="G22" s="149" t="s">
        <v>889</v>
      </c>
      <c r="H22" s="149" t="s">
        <v>14</v>
      </c>
      <c r="I22" s="149" t="s">
        <v>14</v>
      </c>
    </row>
    <row r="23" spans="1:59" ht="46.2" customHeight="1" x14ac:dyDescent="0.35">
      <c r="A23" s="187" t="s">
        <v>863</v>
      </c>
      <c r="B23" s="187" t="s">
        <v>13</v>
      </c>
      <c r="C23" s="255" t="s">
        <v>895</v>
      </c>
      <c r="D23" s="259">
        <v>30000</v>
      </c>
      <c r="E23" s="187" t="s">
        <v>72</v>
      </c>
      <c r="F23" s="187" t="s">
        <v>896</v>
      </c>
      <c r="G23" s="149" t="s">
        <v>889</v>
      </c>
      <c r="H23" s="187" t="s">
        <v>14</v>
      </c>
      <c r="I23" s="187" t="s">
        <v>14</v>
      </c>
    </row>
    <row r="24" spans="1:59" ht="46.2" customHeight="1" x14ac:dyDescent="0.35">
      <c r="A24" s="260"/>
      <c r="B24" s="260"/>
      <c r="C24" s="261"/>
      <c r="D24" s="262"/>
      <c r="E24" s="260"/>
      <c r="F24" s="260"/>
      <c r="G24" s="260"/>
      <c r="H24" s="260"/>
      <c r="I24" s="260"/>
    </row>
    <row r="25" spans="1:59" s="267" customFormat="1" x14ac:dyDescent="0.35">
      <c r="A25" s="61"/>
      <c r="B25" s="263"/>
      <c r="C25" s="264"/>
      <c r="D25" s="265"/>
      <c r="E25" s="263"/>
      <c r="F25" s="263"/>
      <c r="G25" s="263"/>
      <c r="H25" s="263"/>
      <c r="I25" s="99"/>
      <c r="J25" s="266"/>
      <c r="K25" s="266"/>
      <c r="L25" s="266"/>
      <c r="M25" s="266"/>
      <c r="N25" s="266"/>
      <c r="O25" s="266"/>
      <c r="P25" s="266"/>
      <c r="Q25" s="266"/>
      <c r="R25" s="266"/>
      <c r="S25" s="266"/>
      <c r="T25" s="266"/>
      <c r="U25" s="266"/>
      <c r="V25" s="266"/>
      <c r="W25" s="266"/>
      <c r="X25" s="266"/>
      <c r="Y25" s="266"/>
      <c r="Z25" s="266"/>
      <c r="AA25" s="266"/>
      <c r="AB25" s="266"/>
      <c r="AC25" s="266"/>
      <c r="AD25" s="266"/>
      <c r="AE25" s="266"/>
      <c r="AF25" s="266"/>
      <c r="AG25" s="266"/>
      <c r="AH25" s="266"/>
      <c r="AI25" s="266"/>
      <c r="AJ25" s="266"/>
      <c r="AK25" s="266"/>
      <c r="AL25" s="266"/>
      <c r="AM25" s="266"/>
      <c r="AN25" s="266"/>
      <c r="AO25" s="266"/>
      <c r="AP25" s="266"/>
      <c r="AQ25" s="266"/>
      <c r="AR25" s="266"/>
      <c r="AS25" s="266"/>
      <c r="AT25" s="266"/>
      <c r="AU25" s="266"/>
      <c r="AV25" s="266"/>
      <c r="AW25" s="266"/>
      <c r="AX25" s="266"/>
      <c r="AY25" s="266"/>
      <c r="AZ25" s="266"/>
      <c r="BA25" s="266"/>
      <c r="BB25" s="266"/>
      <c r="BC25" s="266"/>
      <c r="BD25" s="266"/>
      <c r="BE25" s="266"/>
      <c r="BF25" s="266"/>
      <c r="BG25" s="266"/>
    </row>
    <row r="26" spans="1:59" ht="21.45" customHeight="1" x14ac:dyDescent="0.35">
      <c r="A26" s="268" t="s">
        <v>897</v>
      </c>
      <c r="B26" s="268"/>
      <c r="C26" s="268"/>
      <c r="D26" s="268"/>
      <c r="E26" s="268"/>
      <c r="F26" s="268"/>
      <c r="G26" s="268"/>
      <c r="H26" s="268"/>
      <c r="I26" s="268"/>
      <c r="J26" s="266"/>
      <c r="K26" s="266"/>
      <c r="L26" s="266"/>
      <c r="M26" s="266"/>
      <c r="N26" s="266"/>
      <c r="O26" s="266"/>
      <c r="P26" s="266"/>
      <c r="Q26" s="266"/>
      <c r="R26" s="266"/>
      <c r="S26" s="266"/>
      <c r="T26" s="266"/>
      <c r="U26" s="266"/>
      <c r="V26" s="266"/>
      <c r="W26" s="266"/>
      <c r="X26" s="266"/>
      <c r="Y26" s="266"/>
      <c r="Z26" s="266"/>
      <c r="AA26" s="266"/>
      <c r="AB26" s="266"/>
      <c r="AC26" s="266"/>
      <c r="AD26" s="266"/>
      <c r="AE26" s="266"/>
      <c r="AF26" s="266"/>
      <c r="AG26" s="266"/>
      <c r="AH26" s="266"/>
      <c r="AI26" s="266"/>
      <c r="AJ26" s="266"/>
      <c r="AK26" s="266"/>
      <c r="AL26" s="266"/>
      <c r="AM26" s="266"/>
      <c r="AN26" s="266"/>
      <c r="AO26" s="266"/>
      <c r="AP26" s="266"/>
      <c r="AQ26" s="266"/>
      <c r="AR26" s="266"/>
      <c r="AS26" s="266"/>
      <c r="AT26" s="266"/>
      <c r="AU26" s="266"/>
      <c r="AV26" s="266"/>
      <c r="AW26" s="266"/>
      <c r="AX26" s="266"/>
      <c r="AY26" s="266"/>
      <c r="AZ26" s="266"/>
      <c r="BA26" s="266"/>
      <c r="BB26" s="266"/>
      <c r="BC26" s="266"/>
      <c r="BD26" s="266"/>
      <c r="BE26" s="266"/>
      <c r="BF26" s="266"/>
      <c r="BG26" s="266"/>
    </row>
    <row r="27" spans="1:59" s="267" customFormat="1" x14ac:dyDescent="0.35">
      <c r="A27" s="61"/>
      <c r="B27" s="61"/>
      <c r="C27" s="269"/>
      <c r="D27" s="270"/>
      <c r="E27" s="61"/>
      <c r="F27" s="61"/>
      <c r="G27" s="61"/>
      <c r="H27" s="61"/>
      <c r="I27" s="61"/>
      <c r="J27" s="266"/>
      <c r="K27" s="266"/>
      <c r="L27" s="266"/>
      <c r="M27" s="266"/>
      <c r="N27" s="266"/>
      <c r="O27" s="266"/>
      <c r="P27" s="266"/>
      <c r="Q27" s="266"/>
      <c r="R27" s="266"/>
      <c r="S27" s="266"/>
      <c r="T27" s="266"/>
      <c r="U27" s="266"/>
      <c r="V27" s="266"/>
      <c r="W27" s="266"/>
      <c r="X27" s="266"/>
      <c r="Y27" s="266"/>
      <c r="Z27" s="266"/>
      <c r="AA27" s="266"/>
      <c r="AB27" s="266"/>
      <c r="AC27" s="266"/>
      <c r="AD27" s="266"/>
      <c r="AE27" s="266"/>
      <c r="AF27" s="266"/>
      <c r="AG27" s="266"/>
      <c r="AH27" s="266"/>
      <c r="AI27" s="266"/>
      <c r="AJ27" s="266"/>
      <c r="AK27" s="266"/>
      <c r="AL27" s="266"/>
      <c r="AM27" s="266"/>
      <c r="AN27" s="266"/>
      <c r="AO27" s="266"/>
      <c r="AP27" s="266"/>
      <c r="AQ27" s="266"/>
      <c r="AR27" s="266"/>
      <c r="AS27" s="266"/>
      <c r="AT27" s="266"/>
      <c r="AU27" s="266"/>
      <c r="AV27" s="266"/>
      <c r="AW27" s="266"/>
      <c r="AX27" s="266"/>
      <c r="AY27" s="266"/>
      <c r="AZ27" s="266"/>
      <c r="BA27" s="266"/>
      <c r="BB27" s="266"/>
      <c r="BC27" s="266"/>
      <c r="BD27" s="266"/>
      <c r="BE27" s="266"/>
      <c r="BF27" s="266"/>
      <c r="BG27" s="266"/>
    </row>
    <row r="28" spans="1:59" ht="22.35" customHeight="1" x14ac:dyDescent="0.35">
      <c r="A28" s="271" t="s">
        <v>857</v>
      </c>
      <c r="B28" s="271" t="s">
        <v>2</v>
      </c>
      <c r="C28" s="271" t="s">
        <v>4</v>
      </c>
      <c r="D28" s="271" t="s">
        <v>5</v>
      </c>
      <c r="E28" s="271" t="s">
        <v>6</v>
      </c>
      <c r="F28" s="271" t="s">
        <v>8</v>
      </c>
      <c r="G28" s="271" t="s">
        <v>9</v>
      </c>
      <c r="H28" s="271" t="s">
        <v>10</v>
      </c>
      <c r="I28" s="271" t="s">
        <v>11</v>
      </c>
    </row>
    <row r="29" spans="1:59" ht="30" customHeight="1" x14ac:dyDescent="0.35">
      <c r="A29" s="272"/>
      <c r="B29" s="272"/>
      <c r="C29" s="272"/>
      <c r="D29" s="272"/>
      <c r="E29" s="272"/>
      <c r="F29" s="272"/>
      <c r="G29" s="272"/>
      <c r="H29" s="272"/>
      <c r="I29" s="272"/>
    </row>
    <row r="30" spans="1:59" ht="62.4" x14ac:dyDescent="0.35">
      <c r="A30" s="23" t="s">
        <v>898</v>
      </c>
      <c r="B30" s="23" t="s">
        <v>50</v>
      </c>
      <c r="C30" s="273" t="s">
        <v>899</v>
      </c>
      <c r="D30" s="274">
        <v>167460400.66999999</v>
      </c>
      <c r="E30" s="23" t="s">
        <v>14</v>
      </c>
      <c r="F30" s="26" t="s">
        <v>900</v>
      </c>
      <c r="G30" s="23" t="s">
        <v>270</v>
      </c>
      <c r="H30" s="23" t="s">
        <v>14</v>
      </c>
      <c r="I30" s="23" t="s">
        <v>14</v>
      </c>
    </row>
    <row r="31" spans="1:59" ht="93.6" x14ac:dyDescent="0.35">
      <c r="A31" s="23" t="s">
        <v>898</v>
      </c>
      <c r="B31" s="23" t="s">
        <v>50</v>
      </c>
      <c r="C31" s="273" t="s">
        <v>901</v>
      </c>
      <c r="D31" s="274">
        <f>66000000/1.21</f>
        <v>54545454.545454547</v>
      </c>
      <c r="E31" s="23" t="s">
        <v>14</v>
      </c>
      <c r="F31" s="26" t="s">
        <v>902</v>
      </c>
      <c r="G31" s="23" t="s">
        <v>270</v>
      </c>
      <c r="H31" s="23" t="s">
        <v>14</v>
      </c>
      <c r="I31" s="23" t="s">
        <v>14</v>
      </c>
    </row>
    <row r="32" spans="1:59" ht="46.8" x14ac:dyDescent="0.35">
      <c r="A32" s="23" t="s">
        <v>898</v>
      </c>
      <c r="B32" s="23" t="s">
        <v>50</v>
      </c>
      <c r="C32" s="275" t="s">
        <v>903</v>
      </c>
      <c r="D32" s="274">
        <v>29432265.140000001</v>
      </c>
      <c r="E32" s="23" t="s">
        <v>14</v>
      </c>
      <c r="F32" s="26" t="s">
        <v>904</v>
      </c>
      <c r="G32" s="23" t="s">
        <v>270</v>
      </c>
      <c r="H32" s="23" t="s">
        <v>14</v>
      </c>
      <c r="I32" s="23" t="s">
        <v>14</v>
      </c>
    </row>
    <row r="33" spans="1:9" ht="62.4" x14ac:dyDescent="0.35">
      <c r="A33" s="23" t="s">
        <v>898</v>
      </c>
      <c r="B33" s="23" t="s">
        <v>50</v>
      </c>
      <c r="C33" s="258" t="s">
        <v>905</v>
      </c>
      <c r="D33" s="274">
        <v>28000000</v>
      </c>
      <c r="E33" s="30" t="s">
        <v>72</v>
      </c>
      <c r="F33" s="26" t="s">
        <v>906</v>
      </c>
      <c r="G33" s="23" t="s">
        <v>270</v>
      </c>
      <c r="H33" s="23" t="s">
        <v>72</v>
      </c>
      <c r="I33" s="23" t="s">
        <v>14</v>
      </c>
    </row>
    <row r="34" spans="1:9" ht="62.4" x14ac:dyDescent="0.35">
      <c r="A34" s="23" t="s">
        <v>898</v>
      </c>
      <c r="B34" s="23" t="s">
        <v>50</v>
      </c>
      <c r="C34" s="275" t="s">
        <v>907</v>
      </c>
      <c r="D34" s="274">
        <f>14350949.58/1.21</f>
        <v>11860288.90909091</v>
      </c>
      <c r="E34" s="23" t="s">
        <v>14</v>
      </c>
      <c r="F34" s="26" t="s">
        <v>908</v>
      </c>
      <c r="G34" s="23" t="s">
        <v>909</v>
      </c>
      <c r="H34" s="23" t="s">
        <v>14</v>
      </c>
      <c r="I34" s="23" t="s">
        <v>14</v>
      </c>
    </row>
    <row r="35" spans="1:9" ht="62.4" x14ac:dyDescent="0.35">
      <c r="A35" s="23" t="s">
        <v>898</v>
      </c>
      <c r="B35" s="23" t="s">
        <v>50</v>
      </c>
      <c r="C35" s="275" t="s">
        <v>910</v>
      </c>
      <c r="D35" s="274">
        <f>8236192.37/1.21</f>
        <v>6806770.5537190083</v>
      </c>
      <c r="E35" s="23" t="s">
        <v>14</v>
      </c>
      <c r="F35" s="23" t="s">
        <v>911</v>
      </c>
      <c r="G35" s="23" t="s">
        <v>77</v>
      </c>
      <c r="H35" s="23" t="s">
        <v>14</v>
      </c>
      <c r="I35" s="23" t="s">
        <v>14</v>
      </c>
    </row>
    <row r="36" spans="1:9" ht="46.8" x14ac:dyDescent="0.35">
      <c r="A36" s="23" t="s">
        <v>898</v>
      </c>
      <c r="B36" s="23" t="s">
        <v>50</v>
      </c>
      <c r="C36" s="275" t="s">
        <v>912</v>
      </c>
      <c r="D36" s="274">
        <f>6132000/1.21</f>
        <v>5067768.5950413225</v>
      </c>
      <c r="E36" s="23" t="s">
        <v>14</v>
      </c>
      <c r="F36" s="26" t="s">
        <v>913</v>
      </c>
      <c r="G36" s="23" t="s">
        <v>613</v>
      </c>
      <c r="H36" s="23" t="s">
        <v>14</v>
      </c>
      <c r="I36" s="23" t="s">
        <v>14</v>
      </c>
    </row>
    <row r="37" spans="1:9" ht="78" x14ac:dyDescent="0.35">
      <c r="A37" s="23" t="s">
        <v>898</v>
      </c>
      <c r="B37" s="23" t="s">
        <v>50</v>
      </c>
      <c r="C37" s="275" t="s">
        <v>914</v>
      </c>
      <c r="D37" s="274">
        <v>3495447.02</v>
      </c>
      <c r="E37" s="23" t="s">
        <v>14</v>
      </c>
      <c r="F37" s="26" t="s">
        <v>915</v>
      </c>
      <c r="G37" s="23" t="s">
        <v>916</v>
      </c>
      <c r="H37" s="23" t="s">
        <v>14</v>
      </c>
      <c r="I37" s="23" t="s">
        <v>14</v>
      </c>
    </row>
    <row r="38" spans="1:9" ht="62.4" x14ac:dyDescent="0.35">
      <c r="A38" s="23" t="s">
        <v>898</v>
      </c>
      <c r="B38" s="23" t="s">
        <v>50</v>
      </c>
      <c r="C38" s="275" t="s">
        <v>917</v>
      </c>
      <c r="D38" s="274">
        <f>4092112.64/1.21</f>
        <v>3381911.2727272729</v>
      </c>
      <c r="E38" s="23" t="s">
        <v>14</v>
      </c>
      <c r="F38" s="26" t="s">
        <v>918</v>
      </c>
      <c r="G38" s="23" t="s">
        <v>80</v>
      </c>
      <c r="H38" s="23" t="s">
        <v>14</v>
      </c>
      <c r="I38" s="23" t="s">
        <v>14</v>
      </c>
    </row>
    <row r="39" spans="1:9" ht="156" x14ac:dyDescent="0.35">
      <c r="A39" s="23" t="s">
        <v>898</v>
      </c>
      <c r="B39" s="23" t="s">
        <v>50</v>
      </c>
      <c r="C39" s="275" t="s">
        <v>919</v>
      </c>
      <c r="D39" s="274">
        <f>4000000/1.21</f>
        <v>3305785.1239669421</v>
      </c>
      <c r="E39" s="30" t="s">
        <v>72</v>
      </c>
      <c r="F39" s="23" t="s">
        <v>920</v>
      </c>
      <c r="G39" s="23" t="s">
        <v>270</v>
      </c>
      <c r="H39" s="23" t="s">
        <v>72</v>
      </c>
      <c r="I39" s="23" t="s">
        <v>14</v>
      </c>
    </row>
    <row r="40" spans="1:9" ht="62.4" x14ac:dyDescent="0.35">
      <c r="A40" s="23" t="s">
        <v>898</v>
      </c>
      <c r="B40" s="23" t="s">
        <v>50</v>
      </c>
      <c r="C40" s="275" t="s">
        <v>921</v>
      </c>
      <c r="D40" s="274">
        <f>3250000/1.21</f>
        <v>2685950.4132231404</v>
      </c>
      <c r="E40" s="23" t="s">
        <v>14</v>
      </c>
      <c r="F40" s="26" t="s">
        <v>922</v>
      </c>
      <c r="G40" s="26" t="s">
        <v>663</v>
      </c>
      <c r="H40" s="23" t="s">
        <v>14</v>
      </c>
      <c r="I40" s="23" t="s">
        <v>14</v>
      </c>
    </row>
    <row r="41" spans="1:9" ht="62.4" x14ac:dyDescent="0.35">
      <c r="A41" s="23" t="s">
        <v>898</v>
      </c>
      <c r="B41" s="23" t="s">
        <v>50</v>
      </c>
      <c r="C41" s="275" t="s">
        <v>923</v>
      </c>
      <c r="D41" s="274">
        <v>1997684.59</v>
      </c>
      <c r="E41" s="23" t="s">
        <v>14</v>
      </c>
      <c r="F41" s="23" t="s">
        <v>911</v>
      </c>
      <c r="G41" s="23" t="s">
        <v>77</v>
      </c>
      <c r="H41" s="23" t="s">
        <v>14</v>
      </c>
      <c r="I41" s="23" t="s">
        <v>14</v>
      </c>
    </row>
    <row r="42" spans="1:9" ht="46.8" x14ac:dyDescent="0.35">
      <c r="A42" s="23" t="s">
        <v>898</v>
      </c>
      <c r="B42" s="30" t="s">
        <v>50</v>
      </c>
      <c r="C42" s="273" t="s">
        <v>924</v>
      </c>
      <c r="D42" s="276">
        <v>1879532.41</v>
      </c>
      <c r="E42" s="30" t="s">
        <v>14</v>
      </c>
      <c r="F42" s="156" t="s">
        <v>913</v>
      </c>
      <c r="G42" s="156" t="s">
        <v>200</v>
      </c>
      <c r="H42" s="30" t="s">
        <v>14</v>
      </c>
      <c r="I42" s="23" t="s">
        <v>14</v>
      </c>
    </row>
    <row r="43" spans="1:9" ht="46.8" x14ac:dyDescent="0.35">
      <c r="A43" s="23" t="s">
        <v>898</v>
      </c>
      <c r="B43" s="23" t="s">
        <v>50</v>
      </c>
      <c r="C43" s="275" t="s">
        <v>925</v>
      </c>
      <c r="D43" s="274">
        <f>2159850/1.21</f>
        <v>1785000</v>
      </c>
      <c r="E43" s="23" t="s">
        <v>14</v>
      </c>
      <c r="F43" s="26" t="s">
        <v>906</v>
      </c>
      <c r="G43" s="23" t="s">
        <v>77</v>
      </c>
      <c r="H43" s="23" t="s">
        <v>14</v>
      </c>
      <c r="I43" s="23" t="s">
        <v>14</v>
      </c>
    </row>
    <row r="44" spans="1:9" ht="140.4" x14ac:dyDescent="0.35">
      <c r="A44" s="23" t="s">
        <v>898</v>
      </c>
      <c r="B44" s="23" t="s">
        <v>50</v>
      </c>
      <c r="C44" s="258" t="s">
        <v>926</v>
      </c>
      <c r="D44" s="274">
        <v>1652892.56</v>
      </c>
      <c r="E44" s="23" t="s">
        <v>14</v>
      </c>
      <c r="F44" s="23" t="s">
        <v>927</v>
      </c>
      <c r="G44" s="23" t="s">
        <v>270</v>
      </c>
      <c r="H44" s="23" t="s">
        <v>72</v>
      </c>
      <c r="I44" s="23" t="s">
        <v>14</v>
      </c>
    </row>
    <row r="45" spans="1:9" ht="46.8" x14ac:dyDescent="0.35">
      <c r="A45" s="23" t="s">
        <v>898</v>
      </c>
      <c r="B45" s="23" t="s">
        <v>50</v>
      </c>
      <c r="C45" s="275" t="s">
        <v>928</v>
      </c>
      <c r="D45" s="274">
        <f>1928987.94/1.21</f>
        <v>1594204.9090909092</v>
      </c>
      <c r="E45" s="23" t="s">
        <v>14</v>
      </c>
      <c r="F45" s="26" t="s">
        <v>906</v>
      </c>
      <c r="G45" s="23" t="s">
        <v>663</v>
      </c>
      <c r="H45" s="23" t="s">
        <v>14</v>
      </c>
      <c r="I45" s="23" t="s">
        <v>14</v>
      </c>
    </row>
    <row r="46" spans="1:9" ht="46.8" x14ac:dyDescent="0.35">
      <c r="A46" s="23" t="s">
        <v>898</v>
      </c>
      <c r="B46" s="23" t="s">
        <v>50</v>
      </c>
      <c r="C46" s="275" t="s">
        <v>929</v>
      </c>
      <c r="D46" s="274">
        <v>1527338.57</v>
      </c>
      <c r="E46" s="23" t="s">
        <v>14</v>
      </c>
      <c r="F46" s="26" t="s">
        <v>906</v>
      </c>
      <c r="G46" s="26" t="s">
        <v>77</v>
      </c>
      <c r="H46" s="23" t="s">
        <v>14</v>
      </c>
      <c r="I46" s="23" t="s">
        <v>14</v>
      </c>
    </row>
    <row r="47" spans="1:9" ht="46.8" x14ac:dyDescent="0.35">
      <c r="A47" s="23" t="s">
        <v>898</v>
      </c>
      <c r="B47" s="23" t="s">
        <v>50</v>
      </c>
      <c r="C47" s="273" t="s">
        <v>930</v>
      </c>
      <c r="D47" s="274">
        <f>1833438.3/1.21</f>
        <v>1515238.26446281</v>
      </c>
      <c r="E47" s="23" t="s">
        <v>14</v>
      </c>
      <c r="F47" s="23" t="s">
        <v>931</v>
      </c>
      <c r="G47" s="23" t="s">
        <v>663</v>
      </c>
      <c r="H47" s="23" t="s">
        <v>14</v>
      </c>
      <c r="I47" s="23" t="s">
        <v>14</v>
      </c>
    </row>
    <row r="48" spans="1:9" ht="46.8" x14ac:dyDescent="0.35">
      <c r="A48" s="23" t="s">
        <v>898</v>
      </c>
      <c r="B48" s="23" t="s">
        <v>50</v>
      </c>
      <c r="C48" s="275" t="s">
        <v>932</v>
      </c>
      <c r="D48" s="274">
        <f>1423935.4/1.21</f>
        <v>1176806.1157024794</v>
      </c>
      <c r="E48" s="23" t="s">
        <v>14</v>
      </c>
      <c r="F48" s="26" t="s">
        <v>933</v>
      </c>
      <c r="G48" s="23" t="s">
        <v>77</v>
      </c>
      <c r="H48" s="23" t="s">
        <v>14</v>
      </c>
      <c r="I48" s="23" t="s">
        <v>14</v>
      </c>
    </row>
    <row r="49" spans="1:9" ht="62.4" x14ac:dyDescent="0.35">
      <c r="A49" s="23" t="s">
        <v>898</v>
      </c>
      <c r="B49" s="23" t="s">
        <v>50</v>
      </c>
      <c r="C49" s="275" t="s">
        <v>934</v>
      </c>
      <c r="D49" s="274">
        <f>1379571.95/1.21</f>
        <v>1140142.1074380165</v>
      </c>
      <c r="E49" s="23" t="s">
        <v>14</v>
      </c>
      <c r="F49" s="23" t="s">
        <v>911</v>
      </c>
      <c r="G49" s="23" t="s">
        <v>77</v>
      </c>
      <c r="H49" s="23" t="s">
        <v>14</v>
      </c>
      <c r="I49" s="23" t="s">
        <v>14</v>
      </c>
    </row>
    <row r="50" spans="1:9" ht="46.8" x14ac:dyDescent="0.35">
      <c r="A50" s="23" t="s">
        <v>898</v>
      </c>
      <c r="B50" s="23" t="s">
        <v>50</v>
      </c>
      <c r="C50" s="275" t="s">
        <v>935</v>
      </c>
      <c r="D50" s="274">
        <v>1011500</v>
      </c>
      <c r="E50" s="23" t="s">
        <v>14</v>
      </c>
      <c r="F50" s="26" t="s">
        <v>906</v>
      </c>
      <c r="G50" s="26" t="s">
        <v>77</v>
      </c>
      <c r="H50" s="23" t="s">
        <v>14</v>
      </c>
      <c r="I50" s="23" t="s">
        <v>14</v>
      </c>
    </row>
    <row r="51" spans="1:9" ht="46.8" x14ac:dyDescent="0.35">
      <c r="A51" s="23" t="s">
        <v>898</v>
      </c>
      <c r="B51" s="23" t="s">
        <v>50</v>
      </c>
      <c r="C51" s="275" t="s">
        <v>936</v>
      </c>
      <c r="D51" s="274">
        <f>1213821.52/1.21</f>
        <v>1003158.2809917356</v>
      </c>
      <c r="E51" s="23" t="s">
        <v>14</v>
      </c>
      <c r="F51" s="26" t="s">
        <v>906</v>
      </c>
      <c r="G51" s="23" t="s">
        <v>77</v>
      </c>
      <c r="H51" s="23" t="s">
        <v>14</v>
      </c>
      <c r="I51" s="23" t="s">
        <v>14</v>
      </c>
    </row>
    <row r="52" spans="1:9" ht="62.4" x14ac:dyDescent="0.35">
      <c r="A52" s="23" t="s">
        <v>898</v>
      </c>
      <c r="B52" s="23" t="s">
        <v>50</v>
      </c>
      <c r="C52" s="275" t="s">
        <v>937</v>
      </c>
      <c r="D52" s="274">
        <f>1182302.35/1.21</f>
        <v>977109.38016528939</v>
      </c>
      <c r="E52" s="23" t="s">
        <v>14</v>
      </c>
      <c r="F52" s="23" t="s">
        <v>911</v>
      </c>
      <c r="G52" s="26" t="s">
        <v>91</v>
      </c>
      <c r="H52" s="23" t="s">
        <v>14</v>
      </c>
      <c r="I52" s="23" t="s">
        <v>14</v>
      </c>
    </row>
    <row r="53" spans="1:9" ht="62.4" x14ac:dyDescent="0.35">
      <c r="A53" s="23" t="s">
        <v>898</v>
      </c>
      <c r="B53" s="23" t="s">
        <v>50</v>
      </c>
      <c r="C53" s="275" t="s">
        <v>938</v>
      </c>
      <c r="D53" s="274">
        <f>1041283.77/1.21</f>
        <v>860565.09917355375</v>
      </c>
      <c r="E53" s="23" t="s">
        <v>14</v>
      </c>
      <c r="F53" s="23" t="s">
        <v>911</v>
      </c>
      <c r="G53" s="23" t="s">
        <v>200</v>
      </c>
      <c r="H53" s="23" t="s">
        <v>14</v>
      </c>
      <c r="I53" s="23" t="s">
        <v>14</v>
      </c>
    </row>
    <row r="54" spans="1:9" ht="62.4" x14ac:dyDescent="0.35">
      <c r="A54" s="23" t="s">
        <v>898</v>
      </c>
      <c r="B54" s="23" t="s">
        <v>50</v>
      </c>
      <c r="C54" s="275" t="s">
        <v>939</v>
      </c>
      <c r="D54" s="274">
        <f>993531/1.21</f>
        <v>821100</v>
      </c>
      <c r="E54" s="23" t="s">
        <v>14</v>
      </c>
      <c r="F54" s="26" t="s">
        <v>940</v>
      </c>
      <c r="G54" s="23" t="s">
        <v>200</v>
      </c>
      <c r="H54" s="23" t="s">
        <v>14</v>
      </c>
      <c r="I54" s="23" t="s">
        <v>14</v>
      </c>
    </row>
    <row r="55" spans="1:9" ht="46.8" x14ac:dyDescent="0.35">
      <c r="A55" s="23" t="s">
        <v>898</v>
      </c>
      <c r="B55" s="23" t="s">
        <v>50</v>
      </c>
      <c r="C55" s="275" t="s">
        <v>941</v>
      </c>
      <c r="D55" s="274">
        <f>923881.26/1.21</f>
        <v>763538.23140495876</v>
      </c>
      <c r="E55" s="23" t="s">
        <v>14</v>
      </c>
      <c r="F55" s="26" t="s">
        <v>906</v>
      </c>
      <c r="G55" s="23" t="s">
        <v>182</v>
      </c>
      <c r="H55" s="23" t="s">
        <v>14</v>
      </c>
      <c r="I55" s="23" t="s">
        <v>14</v>
      </c>
    </row>
    <row r="56" spans="1:9" ht="46.8" x14ac:dyDescent="0.35">
      <c r="A56" s="23" t="s">
        <v>898</v>
      </c>
      <c r="B56" s="23" t="s">
        <v>50</v>
      </c>
      <c r="C56" s="275" t="s">
        <v>942</v>
      </c>
      <c r="D56" s="274">
        <v>684913.93</v>
      </c>
      <c r="E56" s="23" t="s">
        <v>14</v>
      </c>
      <c r="F56" s="26" t="s">
        <v>943</v>
      </c>
      <c r="G56" s="23" t="s">
        <v>91</v>
      </c>
      <c r="H56" s="23" t="s">
        <v>14</v>
      </c>
      <c r="I56" s="23" t="s">
        <v>14</v>
      </c>
    </row>
    <row r="57" spans="1:9" ht="46.8" x14ac:dyDescent="0.35">
      <c r="A57" s="23" t="s">
        <v>898</v>
      </c>
      <c r="B57" s="23" t="s">
        <v>50</v>
      </c>
      <c r="C57" s="275" t="s">
        <v>944</v>
      </c>
      <c r="D57" s="274">
        <f>789748.81/1.21</f>
        <v>652684.96694214887</v>
      </c>
      <c r="E57" s="23" t="s">
        <v>14</v>
      </c>
      <c r="F57" s="26" t="s">
        <v>945</v>
      </c>
      <c r="G57" s="26" t="s">
        <v>91</v>
      </c>
      <c r="H57" s="23" t="s">
        <v>14</v>
      </c>
      <c r="I57" s="23" t="s">
        <v>14</v>
      </c>
    </row>
    <row r="58" spans="1:9" ht="46.8" x14ac:dyDescent="0.35">
      <c r="A58" s="23" t="s">
        <v>898</v>
      </c>
      <c r="B58" s="23" t="s">
        <v>50</v>
      </c>
      <c r="C58" s="275" t="s">
        <v>946</v>
      </c>
      <c r="D58" s="274">
        <f>719950.12/1.21</f>
        <v>595000.09917355375</v>
      </c>
      <c r="E58" s="23" t="s">
        <v>14</v>
      </c>
      <c r="F58" s="23" t="s">
        <v>931</v>
      </c>
      <c r="G58" s="26" t="s">
        <v>77</v>
      </c>
      <c r="H58" s="23" t="s">
        <v>14</v>
      </c>
      <c r="I58" s="23" t="s">
        <v>14</v>
      </c>
    </row>
    <row r="59" spans="1:9" ht="46.8" x14ac:dyDescent="0.35">
      <c r="A59" s="23" t="s">
        <v>898</v>
      </c>
      <c r="B59" s="23" t="s">
        <v>50</v>
      </c>
      <c r="C59" s="275" t="s">
        <v>947</v>
      </c>
      <c r="D59" s="274">
        <f>705193/1.21</f>
        <v>582804.132231405</v>
      </c>
      <c r="E59" s="23" t="s">
        <v>14</v>
      </c>
      <c r="F59" s="26" t="s">
        <v>906</v>
      </c>
      <c r="G59" s="23" t="s">
        <v>200</v>
      </c>
      <c r="H59" s="23" t="s">
        <v>14</v>
      </c>
      <c r="I59" s="23" t="s">
        <v>14</v>
      </c>
    </row>
    <row r="60" spans="1:9" ht="46.8" x14ac:dyDescent="0.35">
      <c r="A60" s="23" t="s">
        <v>898</v>
      </c>
      <c r="B60" s="23" t="s">
        <v>50</v>
      </c>
      <c r="C60" s="275" t="s">
        <v>948</v>
      </c>
      <c r="D60" s="274">
        <v>566169.55000000005</v>
      </c>
      <c r="E60" s="23" t="s">
        <v>14</v>
      </c>
      <c r="F60" s="26" t="s">
        <v>943</v>
      </c>
      <c r="G60" s="26" t="s">
        <v>100</v>
      </c>
      <c r="H60" s="23" t="s">
        <v>14</v>
      </c>
      <c r="I60" s="23" t="s">
        <v>14</v>
      </c>
    </row>
    <row r="61" spans="1:9" ht="62.4" x14ac:dyDescent="0.35">
      <c r="A61" s="23" t="s">
        <v>898</v>
      </c>
      <c r="B61" s="23" t="s">
        <v>50</v>
      </c>
      <c r="C61" s="275" t="s">
        <v>949</v>
      </c>
      <c r="D61" s="274">
        <f>658000/1.21</f>
        <v>543801.65289256198</v>
      </c>
      <c r="E61" s="23" t="s">
        <v>14</v>
      </c>
      <c r="F61" s="26" t="s">
        <v>922</v>
      </c>
      <c r="G61" s="23" t="s">
        <v>77</v>
      </c>
      <c r="H61" s="23" t="s">
        <v>14</v>
      </c>
      <c r="I61" s="23" t="s">
        <v>14</v>
      </c>
    </row>
    <row r="62" spans="1:9" ht="46.8" x14ac:dyDescent="0.35">
      <c r="A62" s="23" t="s">
        <v>898</v>
      </c>
      <c r="B62" s="23" t="s">
        <v>50</v>
      </c>
      <c r="C62" s="275" t="s">
        <v>950</v>
      </c>
      <c r="D62" s="274">
        <v>538063.79</v>
      </c>
      <c r="E62" s="23" t="s">
        <v>14</v>
      </c>
      <c r="F62" s="26" t="s">
        <v>906</v>
      </c>
      <c r="G62" s="23" t="s">
        <v>202</v>
      </c>
      <c r="H62" s="23" t="s">
        <v>14</v>
      </c>
      <c r="I62" s="23" t="s">
        <v>14</v>
      </c>
    </row>
    <row r="63" spans="1:9" ht="46.8" x14ac:dyDescent="0.35">
      <c r="A63" s="23" t="s">
        <v>898</v>
      </c>
      <c r="B63" s="23" t="s">
        <v>50</v>
      </c>
      <c r="C63" s="275" t="s">
        <v>951</v>
      </c>
      <c r="D63" s="274">
        <v>528383.59</v>
      </c>
      <c r="E63" s="23" t="s">
        <v>14</v>
      </c>
      <c r="F63" s="26" t="s">
        <v>906</v>
      </c>
      <c r="G63" s="23" t="s">
        <v>182</v>
      </c>
      <c r="H63" s="23" t="s">
        <v>14</v>
      </c>
      <c r="I63" s="23" t="s">
        <v>14</v>
      </c>
    </row>
    <row r="64" spans="1:9" ht="46.8" x14ac:dyDescent="0.35">
      <c r="A64" s="23" t="s">
        <v>898</v>
      </c>
      <c r="B64" s="23" t="s">
        <v>50</v>
      </c>
      <c r="C64" s="275" t="s">
        <v>952</v>
      </c>
      <c r="D64" s="274">
        <f>635000/1.21</f>
        <v>524793.38842975209</v>
      </c>
      <c r="E64" s="23" t="s">
        <v>14</v>
      </c>
      <c r="F64" s="26" t="s">
        <v>953</v>
      </c>
      <c r="G64" s="23" t="s">
        <v>77</v>
      </c>
      <c r="H64" s="23" t="s">
        <v>14</v>
      </c>
      <c r="I64" s="23" t="s">
        <v>14</v>
      </c>
    </row>
    <row r="65" spans="1:9" ht="62.4" x14ac:dyDescent="0.35">
      <c r="A65" s="23" t="s">
        <v>898</v>
      </c>
      <c r="B65" s="30" t="s">
        <v>50</v>
      </c>
      <c r="C65" s="273" t="s">
        <v>954</v>
      </c>
      <c r="D65" s="276">
        <v>520635.59</v>
      </c>
      <c r="E65" s="30" t="s">
        <v>14</v>
      </c>
      <c r="F65" s="30" t="s">
        <v>955</v>
      </c>
      <c r="G65" s="30" t="s">
        <v>91</v>
      </c>
      <c r="H65" s="30" t="s">
        <v>14</v>
      </c>
      <c r="I65" s="30" t="s">
        <v>14</v>
      </c>
    </row>
    <row r="66" spans="1:9" ht="46.8" x14ac:dyDescent="0.35">
      <c r="A66" s="23" t="s">
        <v>898</v>
      </c>
      <c r="B66" s="23" t="s">
        <v>50</v>
      </c>
      <c r="C66" s="275" t="s">
        <v>956</v>
      </c>
      <c r="D66" s="274">
        <v>513745.22</v>
      </c>
      <c r="E66" s="23" t="s">
        <v>14</v>
      </c>
      <c r="F66" s="26" t="s">
        <v>906</v>
      </c>
      <c r="G66" s="23" t="s">
        <v>200</v>
      </c>
      <c r="H66" s="23" t="s">
        <v>14</v>
      </c>
      <c r="I66" s="23" t="s">
        <v>14</v>
      </c>
    </row>
    <row r="67" spans="1:9" ht="140.4" x14ac:dyDescent="0.35">
      <c r="A67" s="23" t="s">
        <v>898</v>
      </c>
      <c r="B67" s="23" t="s">
        <v>50</v>
      </c>
      <c r="C67" s="275" t="s">
        <v>957</v>
      </c>
      <c r="D67" s="274">
        <v>500000</v>
      </c>
      <c r="E67" s="23" t="s">
        <v>14</v>
      </c>
      <c r="F67" s="23" t="s">
        <v>958</v>
      </c>
      <c r="G67" s="23" t="s">
        <v>270</v>
      </c>
      <c r="H67" s="23" t="s">
        <v>72</v>
      </c>
      <c r="I67" s="23" t="s">
        <v>14</v>
      </c>
    </row>
    <row r="68" spans="1:9" ht="62.4" x14ac:dyDescent="0.35">
      <c r="A68" s="23" t="s">
        <v>898</v>
      </c>
      <c r="B68" s="23" t="s">
        <v>50</v>
      </c>
      <c r="C68" s="275" t="s">
        <v>959</v>
      </c>
      <c r="D68" s="274">
        <f>594800/1.21</f>
        <v>491570.24793388433</v>
      </c>
      <c r="E68" s="23" t="s">
        <v>14</v>
      </c>
      <c r="F68" s="26" t="s">
        <v>960</v>
      </c>
      <c r="G68" s="26" t="s">
        <v>200</v>
      </c>
      <c r="H68" s="23" t="s">
        <v>14</v>
      </c>
      <c r="I68" s="23" t="s">
        <v>14</v>
      </c>
    </row>
    <row r="69" spans="1:9" ht="46.8" x14ac:dyDescent="0.35">
      <c r="A69" s="23" t="s">
        <v>898</v>
      </c>
      <c r="B69" s="23" t="s">
        <v>50</v>
      </c>
      <c r="C69" s="275" t="s">
        <v>961</v>
      </c>
      <c r="D69" s="274">
        <v>489343</v>
      </c>
      <c r="E69" s="23" t="s">
        <v>14</v>
      </c>
      <c r="F69" s="26" t="s">
        <v>943</v>
      </c>
      <c r="G69" s="23" t="s">
        <v>91</v>
      </c>
      <c r="H69" s="23" t="s">
        <v>14</v>
      </c>
      <c r="I69" s="23" t="s">
        <v>14</v>
      </c>
    </row>
    <row r="70" spans="1:9" ht="62.4" x14ac:dyDescent="0.35">
      <c r="A70" s="23" t="s">
        <v>898</v>
      </c>
      <c r="B70" s="23" t="s">
        <v>50</v>
      </c>
      <c r="C70" s="275" t="s">
        <v>962</v>
      </c>
      <c r="D70" s="274">
        <v>434406.05</v>
      </c>
      <c r="E70" s="23" t="s">
        <v>14</v>
      </c>
      <c r="F70" s="23" t="s">
        <v>911</v>
      </c>
      <c r="G70" s="23" t="s">
        <v>184</v>
      </c>
      <c r="H70" s="23" t="s">
        <v>14</v>
      </c>
      <c r="I70" s="23" t="s">
        <v>14</v>
      </c>
    </row>
    <row r="71" spans="1:9" s="277" customFormat="1" ht="62.4" x14ac:dyDescent="0.35">
      <c r="A71" s="30" t="s">
        <v>898</v>
      </c>
      <c r="B71" s="30" t="s">
        <v>50</v>
      </c>
      <c r="C71" s="273" t="s">
        <v>963</v>
      </c>
      <c r="D71" s="276">
        <v>414167.24</v>
      </c>
      <c r="E71" s="30" t="s">
        <v>14</v>
      </c>
      <c r="F71" s="156" t="s">
        <v>964</v>
      </c>
      <c r="G71" s="30" t="s">
        <v>202</v>
      </c>
      <c r="H71" s="30" t="s">
        <v>14</v>
      </c>
      <c r="I71" s="30" t="s">
        <v>14</v>
      </c>
    </row>
    <row r="72" spans="1:9" s="277" customFormat="1" ht="62.4" x14ac:dyDescent="0.35">
      <c r="A72" s="30" t="s">
        <v>898</v>
      </c>
      <c r="B72" s="30" t="s">
        <v>50</v>
      </c>
      <c r="C72" s="273" t="s">
        <v>963</v>
      </c>
      <c r="D72" s="276">
        <v>414167.24</v>
      </c>
      <c r="E72" s="30" t="s">
        <v>14</v>
      </c>
      <c r="F72" s="156" t="s">
        <v>965</v>
      </c>
      <c r="G72" s="30" t="s">
        <v>202</v>
      </c>
      <c r="H72" s="30" t="s">
        <v>14</v>
      </c>
      <c r="I72" s="30" t="s">
        <v>14</v>
      </c>
    </row>
    <row r="73" spans="1:9" ht="46.8" x14ac:dyDescent="0.35">
      <c r="A73" s="23" t="s">
        <v>898</v>
      </c>
      <c r="B73" s="23" t="s">
        <v>50</v>
      </c>
      <c r="C73" s="275" t="s">
        <v>966</v>
      </c>
      <c r="D73" s="274">
        <v>412024.07</v>
      </c>
      <c r="E73" s="23" t="s">
        <v>14</v>
      </c>
      <c r="F73" s="26" t="s">
        <v>955</v>
      </c>
      <c r="G73" s="26" t="s">
        <v>182</v>
      </c>
      <c r="H73" s="23" t="s">
        <v>14</v>
      </c>
      <c r="I73" s="23" t="s">
        <v>14</v>
      </c>
    </row>
    <row r="74" spans="1:9" ht="46.8" x14ac:dyDescent="0.35">
      <c r="A74" s="23" t="s">
        <v>898</v>
      </c>
      <c r="B74" s="23" t="s">
        <v>50</v>
      </c>
      <c r="C74" s="273" t="s">
        <v>967</v>
      </c>
      <c r="D74" s="276">
        <v>356806.76</v>
      </c>
      <c r="E74" s="30" t="s">
        <v>14</v>
      </c>
      <c r="F74" s="26" t="s">
        <v>968</v>
      </c>
      <c r="G74" s="30" t="s">
        <v>100</v>
      </c>
      <c r="H74" s="23" t="s">
        <v>14</v>
      </c>
      <c r="I74" s="23" t="s">
        <v>14</v>
      </c>
    </row>
    <row r="75" spans="1:9" ht="46.8" x14ac:dyDescent="0.35">
      <c r="A75" s="23" t="s">
        <v>898</v>
      </c>
      <c r="B75" s="30" t="s">
        <v>50</v>
      </c>
      <c r="C75" s="273" t="s">
        <v>969</v>
      </c>
      <c r="D75" s="276">
        <v>341270.92</v>
      </c>
      <c r="E75" s="30" t="s">
        <v>14</v>
      </c>
      <c r="F75" s="156" t="s">
        <v>906</v>
      </c>
      <c r="G75" s="30" t="s">
        <v>46</v>
      </c>
      <c r="H75" s="30" t="s">
        <v>14</v>
      </c>
      <c r="I75" s="30" t="s">
        <v>14</v>
      </c>
    </row>
    <row r="76" spans="1:9" ht="62.4" x14ac:dyDescent="0.35">
      <c r="A76" s="23" t="s">
        <v>898</v>
      </c>
      <c r="B76" s="23" t="s">
        <v>50</v>
      </c>
      <c r="C76" s="275" t="s">
        <v>970</v>
      </c>
      <c r="D76" s="274">
        <f>429655.36/1.21</f>
        <v>355087.07438016532</v>
      </c>
      <c r="E76" s="23" t="s">
        <v>14</v>
      </c>
      <c r="F76" s="23" t="s">
        <v>911</v>
      </c>
      <c r="G76" s="23" t="s">
        <v>91</v>
      </c>
      <c r="H76" s="23" t="s">
        <v>14</v>
      </c>
      <c r="I76" s="23" t="s">
        <v>14</v>
      </c>
    </row>
    <row r="77" spans="1:9" ht="46.8" x14ac:dyDescent="0.35">
      <c r="A77" s="23" t="s">
        <v>898</v>
      </c>
      <c r="B77" s="23" t="s">
        <v>50</v>
      </c>
      <c r="C77" s="275" t="s">
        <v>971</v>
      </c>
      <c r="D77" s="274">
        <f>400701.68/1.21</f>
        <v>331158.41322314052</v>
      </c>
      <c r="E77" s="23" t="s">
        <v>14</v>
      </c>
      <c r="F77" s="26" t="s">
        <v>943</v>
      </c>
      <c r="G77" s="23" t="s">
        <v>100</v>
      </c>
      <c r="H77" s="23" t="s">
        <v>14</v>
      </c>
      <c r="I77" s="23" t="s">
        <v>14</v>
      </c>
    </row>
    <row r="78" spans="1:9" ht="46.8" x14ac:dyDescent="0.35">
      <c r="A78" s="23" t="s">
        <v>898</v>
      </c>
      <c r="B78" s="23" t="s">
        <v>50</v>
      </c>
      <c r="C78" s="275" t="s">
        <v>972</v>
      </c>
      <c r="D78" s="274">
        <f>290052.92/1.21</f>
        <v>239713.15702479339</v>
      </c>
      <c r="E78" s="23" t="s">
        <v>14</v>
      </c>
      <c r="F78" s="26" t="s">
        <v>913</v>
      </c>
      <c r="G78" s="26" t="s">
        <v>182</v>
      </c>
      <c r="H78" s="23" t="s">
        <v>14</v>
      </c>
      <c r="I78" s="23" t="s">
        <v>14</v>
      </c>
    </row>
    <row r="79" spans="1:9" ht="46.8" x14ac:dyDescent="0.35">
      <c r="A79" s="23" t="s">
        <v>898</v>
      </c>
      <c r="B79" s="23" t="s">
        <v>50</v>
      </c>
      <c r="C79" s="273" t="s">
        <v>973</v>
      </c>
      <c r="D79" s="276">
        <v>231000</v>
      </c>
      <c r="E79" s="30" t="s">
        <v>14</v>
      </c>
      <c r="F79" s="156" t="s">
        <v>913</v>
      </c>
      <c r="G79" s="30" t="s">
        <v>182</v>
      </c>
      <c r="H79" s="23" t="s">
        <v>14</v>
      </c>
      <c r="I79" s="23" t="s">
        <v>14</v>
      </c>
    </row>
    <row r="80" spans="1:9" ht="46.8" x14ac:dyDescent="0.35">
      <c r="A80" s="23" t="s">
        <v>898</v>
      </c>
      <c r="B80" s="23" t="s">
        <v>50</v>
      </c>
      <c r="C80" s="275" t="s">
        <v>974</v>
      </c>
      <c r="D80" s="274">
        <v>214959.83</v>
      </c>
      <c r="E80" s="23" t="s">
        <v>14</v>
      </c>
      <c r="F80" s="23" t="s">
        <v>975</v>
      </c>
      <c r="G80" s="26" t="s">
        <v>100</v>
      </c>
      <c r="H80" s="23" t="s">
        <v>14</v>
      </c>
      <c r="I80" s="23" t="s">
        <v>14</v>
      </c>
    </row>
    <row r="81" spans="1:9" ht="46.8" x14ac:dyDescent="0.35">
      <c r="A81" s="23" t="s">
        <v>898</v>
      </c>
      <c r="B81" s="23" t="s">
        <v>50</v>
      </c>
      <c r="C81" s="275" t="s">
        <v>976</v>
      </c>
      <c r="D81" s="274">
        <f>215985/1.21</f>
        <v>178500</v>
      </c>
      <c r="E81" s="23" t="s">
        <v>14</v>
      </c>
      <c r="F81" s="26" t="s">
        <v>913</v>
      </c>
      <c r="G81" s="23" t="s">
        <v>100</v>
      </c>
      <c r="H81" s="23" t="s">
        <v>14</v>
      </c>
      <c r="I81" s="23" t="s">
        <v>14</v>
      </c>
    </row>
    <row r="82" spans="1:9" ht="46.8" x14ac:dyDescent="0.35">
      <c r="A82" s="23" t="s">
        <v>898</v>
      </c>
      <c r="B82" s="23" t="s">
        <v>50</v>
      </c>
      <c r="C82" s="275" t="s">
        <v>977</v>
      </c>
      <c r="D82" s="274">
        <f>198900.48/1.21</f>
        <v>164380.5619834711</v>
      </c>
      <c r="E82" s="23" t="s">
        <v>14</v>
      </c>
      <c r="F82" s="26" t="s">
        <v>906</v>
      </c>
      <c r="G82" s="23" t="s">
        <v>100</v>
      </c>
      <c r="H82" s="23" t="s">
        <v>14</v>
      </c>
      <c r="I82" s="23" t="s">
        <v>14</v>
      </c>
    </row>
    <row r="83" spans="1:9" ht="46.8" x14ac:dyDescent="0.35">
      <c r="A83" s="23" t="s">
        <v>898</v>
      </c>
      <c r="B83" s="30" t="s">
        <v>50</v>
      </c>
      <c r="C83" s="273" t="s">
        <v>978</v>
      </c>
      <c r="D83" s="276">
        <v>161301.48000000001</v>
      </c>
      <c r="E83" s="30" t="s">
        <v>14</v>
      </c>
      <c r="F83" s="156" t="s">
        <v>913</v>
      </c>
      <c r="G83" s="156" t="s">
        <v>49</v>
      </c>
      <c r="H83" s="30" t="s">
        <v>14</v>
      </c>
      <c r="I83" s="30" t="s">
        <v>14</v>
      </c>
    </row>
    <row r="84" spans="1:9" ht="46.8" x14ac:dyDescent="0.35">
      <c r="A84" s="23" t="s">
        <v>898</v>
      </c>
      <c r="B84" s="23" t="s">
        <v>50</v>
      </c>
      <c r="C84" s="275" t="s">
        <v>979</v>
      </c>
      <c r="D84" s="274">
        <f>175000/1.21</f>
        <v>144628.09917355372</v>
      </c>
      <c r="E84" s="23" t="s">
        <v>14</v>
      </c>
      <c r="F84" s="23" t="s">
        <v>980</v>
      </c>
      <c r="G84" s="23" t="s">
        <v>202</v>
      </c>
      <c r="H84" s="23" t="s">
        <v>14</v>
      </c>
      <c r="I84" s="23" t="s">
        <v>14</v>
      </c>
    </row>
    <row r="85" spans="1:9" ht="46.8" x14ac:dyDescent="0.35">
      <c r="A85" s="23" t="s">
        <v>898</v>
      </c>
      <c r="B85" s="23" t="s">
        <v>50</v>
      </c>
      <c r="C85" s="275" t="s">
        <v>981</v>
      </c>
      <c r="D85" s="274">
        <v>140851.38</v>
      </c>
      <c r="E85" s="23" t="s">
        <v>14</v>
      </c>
      <c r="F85" s="26" t="s">
        <v>982</v>
      </c>
      <c r="G85" s="26" t="s">
        <v>57</v>
      </c>
      <c r="H85" s="23" t="s">
        <v>14</v>
      </c>
      <c r="I85" s="23" t="s">
        <v>14</v>
      </c>
    </row>
    <row r="86" spans="1:9" ht="62.4" x14ac:dyDescent="0.35">
      <c r="A86" s="23" t="s">
        <v>898</v>
      </c>
      <c r="B86" s="30" t="s">
        <v>50</v>
      </c>
      <c r="C86" s="273" t="s">
        <v>983</v>
      </c>
      <c r="D86" s="276">
        <v>115254.72</v>
      </c>
      <c r="E86" s="30" t="s">
        <v>14</v>
      </c>
      <c r="F86" s="30" t="s">
        <v>955</v>
      </c>
      <c r="G86" s="30" t="s">
        <v>46</v>
      </c>
      <c r="H86" s="30" t="s">
        <v>14</v>
      </c>
      <c r="I86" s="30" t="s">
        <v>14</v>
      </c>
    </row>
    <row r="87" spans="1:9" ht="46.8" x14ac:dyDescent="0.35">
      <c r="A87" s="23" t="s">
        <v>898</v>
      </c>
      <c r="B87" s="30" t="s">
        <v>50</v>
      </c>
      <c r="C87" s="273" t="s">
        <v>984</v>
      </c>
      <c r="D87" s="276">
        <v>78570.460000000006</v>
      </c>
      <c r="E87" s="30" t="s">
        <v>14</v>
      </c>
      <c r="F87" s="30" t="s">
        <v>985</v>
      </c>
      <c r="G87" s="156" t="s">
        <v>46</v>
      </c>
      <c r="H87" s="30" t="s">
        <v>14</v>
      </c>
      <c r="I87" s="30" t="s">
        <v>14</v>
      </c>
    </row>
    <row r="88" spans="1:9" ht="46.8" x14ac:dyDescent="0.35">
      <c r="A88" s="23" t="s">
        <v>898</v>
      </c>
      <c r="B88" s="23" t="s">
        <v>50</v>
      </c>
      <c r="C88" s="275" t="s">
        <v>986</v>
      </c>
      <c r="D88" s="274">
        <v>69276.97</v>
      </c>
      <c r="E88" s="23" t="s">
        <v>14</v>
      </c>
      <c r="F88" s="26" t="s">
        <v>987</v>
      </c>
      <c r="G88" s="23" t="s">
        <v>46</v>
      </c>
      <c r="H88" s="23" t="s">
        <v>14</v>
      </c>
      <c r="I88" s="23" t="s">
        <v>14</v>
      </c>
    </row>
    <row r="89" spans="1:9" ht="46.8" x14ac:dyDescent="0.35">
      <c r="A89" s="23" t="s">
        <v>898</v>
      </c>
      <c r="B89" s="50" t="s">
        <v>50</v>
      </c>
      <c r="C89" s="278" t="s">
        <v>988</v>
      </c>
      <c r="D89" s="279">
        <v>61918.1</v>
      </c>
      <c r="E89" s="50" t="s">
        <v>14</v>
      </c>
      <c r="F89" s="52" t="s">
        <v>989</v>
      </c>
      <c r="G89" s="50" t="s">
        <v>49</v>
      </c>
      <c r="H89" s="50" t="s">
        <v>14</v>
      </c>
      <c r="I89" s="50" t="s">
        <v>14</v>
      </c>
    </row>
    <row r="90" spans="1:9" s="277" customFormat="1" ht="46.8" x14ac:dyDescent="0.35">
      <c r="A90" s="30" t="s">
        <v>898</v>
      </c>
      <c r="B90" s="30" t="s">
        <v>50</v>
      </c>
      <c r="C90" s="273" t="s">
        <v>990</v>
      </c>
      <c r="D90" s="276">
        <v>35479.35</v>
      </c>
      <c r="E90" s="30" t="s">
        <v>14</v>
      </c>
      <c r="F90" s="30" t="s">
        <v>982</v>
      </c>
      <c r="G90" s="30" t="s">
        <v>57</v>
      </c>
      <c r="H90" s="30" t="s">
        <v>14</v>
      </c>
      <c r="I90" s="30" t="s">
        <v>14</v>
      </c>
    </row>
    <row r="91" spans="1:9" ht="78" x14ac:dyDescent="0.35">
      <c r="A91" s="23" t="s">
        <v>898</v>
      </c>
      <c r="B91" s="30" t="s">
        <v>50</v>
      </c>
      <c r="C91" s="273" t="s">
        <v>991</v>
      </c>
      <c r="D91" s="276">
        <v>29454.63</v>
      </c>
      <c r="E91" s="30" t="s">
        <v>14</v>
      </c>
      <c r="F91" s="30" t="s">
        <v>992</v>
      </c>
      <c r="G91" s="30" t="s">
        <v>91</v>
      </c>
      <c r="H91" s="30" t="s">
        <v>14</v>
      </c>
      <c r="I91" s="30" t="s">
        <v>14</v>
      </c>
    </row>
    <row r="92" spans="1:9" ht="109.2" x14ac:dyDescent="0.35">
      <c r="A92" s="23" t="s">
        <v>898</v>
      </c>
      <c r="B92" s="23" t="s">
        <v>859</v>
      </c>
      <c r="C92" s="275" t="s">
        <v>993</v>
      </c>
      <c r="D92" s="274">
        <v>3600000</v>
      </c>
      <c r="E92" s="23" t="s">
        <v>72</v>
      </c>
      <c r="F92" s="23" t="s">
        <v>994</v>
      </c>
      <c r="G92" s="23" t="s">
        <v>270</v>
      </c>
      <c r="H92" s="23" t="s">
        <v>72</v>
      </c>
      <c r="I92" s="23" t="s">
        <v>14</v>
      </c>
    </row>
    <row r="93" spans="1:9" ht="62.4" x14ac:dyDescent="0.35">
      <c r="A93" s="23" t="s">
        <v>898</v>
      </c>
      <c r="B93" s="30" t="s">
        <v>859</v>
      </c>
      <c r="C93" s="273" t="s">
        <v>995</v>
      </c>
      <c r="D93" s="276">
        <v>661157.02</v>
      </c>
      <c r="E93" s="30" t="s">
        <v>14</v>
      </c>
      <c r="F93" s="23" t="s">
        <v>911</v>
      </c>
      <c r="G93" s="280" t="s">
        <v>270</v>
      </c>
      <c r="H93" s="30" t="s">
        <v>14</v>
      </c>
      <c r="I93" s="30" t="s">
        <v>14</v>
      </c>
    </row>
    <row r="94" spans="1:9" s="277" customFormat="1" ht="46.8" x14ac:dyDescent="0.35">
      <c r="A94" s="30" t="s">
        <v>898</v>
      </c>
      <c r="B94" s="30" t="s">
        <v>859</v>
      </c>
      <c r="C94" s="273" t="s">
        <v>996</v>
      </c>
      <c r="D94" s="276">
        <v>570247.92000000004</v>
      </c>
      <c r="E94" s="30" t="s">
        <v>14</v>
      </c>
      <c r="F94" s="281">
        <v>71317200</v>
      </c>
      <c r="G94" s="30" t="s">
        <v>77</v>
      </c>
      <c r="H94" s="30" t="s">
        <v>72</v>
      </c>
      <c r="I94" s="30" t="s">
        <v>14</v>
      </c>
    </row>
    <row r="95" spans="1:9" ht="46.8" x14ac:dyDescent="0.35">
      <c r="A95" s="23" t="s">
        <v>898</v>
      </c>
      <c r="B95" s="23" t="s">
        <v>859</v>
      </c>
      <c r="C95" s="282" t="s">
        <v>997</v>
      </c>
      <c r="D95" s="283">
        <v>503347.06</v>
      </c>
      <c r="E95" s="23" t="s">
        <v>72</v>
      </c>
      <c r="F95" s="284" t="s">
        <v>998</v>
      </c>
      <c r="G95" s="284" t="s">
        <v>270</v>
      </c>
      <c r="H95" s="23" t="s">
        <v>72</v>
      </c>
      <c r="I95" s="23" t="s">
        <v>14</v>
      </c>
    </row>
    <row r="96" spans="1:9" ht="46.8" x14ac:dyDescent="0.35">
      <c r="A96" s="23" t="s">
        <v>898</v>
      </c>
      <c r="B96" s="23" t="s">
        <v>859</v>
      </c>
      <c r="C96" s="275" t="s">
        <v>999</v>
      </c>
      <c r="D96" s="274">
        <v>450000</v>
      </c>
      <c r="E96" s="23" t="s">
        <v>14</v>
      </c>
      <c r="F96" s="26" t="s">
        <v>1000</v>
      </c>
      <c r="G96" s="26" t="s">
        <v>270</v>
      </c>
      <c r="H96" s="23" t="s">
        <v>72</v>
      </c>
      <c r="I96" s="23" t="s">
        <v>14</v>
      </c>
    </row>
    <row r="97" spans="1:9" ht="46.8" x14ac:dyDescent="0.35">
      <c r="A97" s="23" t="s">
        <v>898</v>
      </c>
      <c r="B97" s="23" t="s">
        <v>859</v>
      </c>
      <c r="C97" s="275" t="s">
        <v>1001</v>
      </c>
      <c r="D97" s="274">
        <v>450000</v>
      </c>
      <c r="E97" s="23" t="s">
        <v>72</v>
      </c>
      <c r="F97" s="26" t="s">
        <v>1000</v>
      </c>
      <c r="G97" s="26" t="s">
        <v>270</v>
      </c>
      <c r="H97" s="23" t="s">
        <v>72</v>
      </c>
      <c r="I97" s="23" t="s">
        <v>14</v>
      </c>
    </row>
    <row r="98" spans="1:9" ht="46.8" x14ac:dyDescent="0.35">
      <c r="A98" s="23" t="s">
        <v>898</v>
      </c>
      <c r="B98" s="23" t="s">
        <v>859</v>
      </c>
      <c r="C98" s="275" t="s">
        <v>1002</v>
      </c>
      <c r="D98" s="274">
        <v>311273.37</v>
      </c>
      <c r="E98" s="23" t="s">
        <v>14</v>
      </c>
      <c r="F98" s="23" t="s">
        <v>1003</v>
      </c>
      <c r="G98" s="23" t="s">
        <v>1004</v>
      </c>
      <c r="H98" s="23" t="s">
        <v>14</v>
      </c>
      <c r="I98" s="23" t="s">
        <v>14</v>
      </c>
    </row>
    <row r="99" spans="1:9" ht="46.8" x14ac:dyDescent="0.35">
      <c r="A99" s="23" t="s">
        <v>898</v>
      </c>
      <c r="B99" s="23" t="s">
        <v>859</v>
      </c>
      <c r="C99" s="275" t="s">
        <v>1005</v>
      </c>
      <c r="D99" s="274">
        <v>229680</v>
      </c>
      <c r="E99" s="23" t="s">
        <v>14</v>
      </c>
      <c r="F99" s="284" t="s">
        <v>1006</v>
      </c>
      <c r="G99" s="26" t="s">
        <v>1004</v>
      </c>
      <c r="H99" s="23" t="s">
        <v>72</v>
      </c>
      <c r="I99" s="23" t="s">
        <v>14</v>
      </c>
    </row>
    <row r="100" spans="1:9" ht="46.8" x14ac:dyDescent="0.35">
      <c r="A100" s="23" t="s">
        <v>898</v>
      </c>
      <c r="B100" s="23" t="s">
        <v>859</v>
      </c>
      <c r="C100" s="275" t="s">
        <v>1007</v>
      </c>
      <c r="D100" s="274">
        <v>220000</v>
      </c>
      <c r="E100" s="23" t="s">
        <v>14</v>
      </c>
      <c r="F100" s="23" t="s">
        <v>1008</v>
      </c>
      <c r="G100" s="23" t="s">
        <v>77</v>
      </c>
      <c r="H100" s="23" t="s">
        <v>72</v>
      </c>
      <c r="I100" s="23" t="s">
        <v>14</v>
      </c>
    </row>
    <row r="101" spans="1:9" ht="46.8" x14ac:dyDescent="0.35">
      <c r="A101" s="23" t="s">
        <v>898</v>
      </c>
      <c r="B101" s="23" t="s">
        <v>859</v>
      </c>
      <c r="C101" s="275" t="s">
        <v>1009</v>
      </c>
      <c r="D101" s="274">
        <v>216000</v>
      </c>
      <c r="E101" s="23" t="s">
        <v>14</v>
      </c>
      <c r="F101" s="23" t="s">
        <v>1010</v>
      </c>
      <c r="G101" s="23" t="s">
        <v>77</v>
      </c>
      <c r="H101" s="23" t="s">
        <v>14</v>
      </c>
      <c r="I101" s="23" t="s">
        <v>14</v>
      </c>
    </row>
    <row r="102" spans="1:9" ht="46.8" x14ac:dyDescent="0.35">
      <c r="A102" s="23" t="s">
        <v>898</v>
      </c>
      <c r="B102" s="23" t="s">
        <v>859</v>
      </c>
      <c r="C102" s="258" t="s">
        <v>1011</v>
      </c>
      <c r="D102" s="274">
        <v>200000</v>
      </c>
      <c r="E102" s="23" t="s">
        <v>72</v>
      </c>
      <c r="F102" s="23" t="s">
        <v>1012</v>
      </c>
      <c r="G102" s="23" t="s">
        <v>613</v>
      </c>
      <c r="H102" s="23" t="s">
        <v>14</v>
      </c>
      <c r="I102" s="23" t="s">
        <v>14</v>
      </c>
    </row>
    <row r="103" spans="1:9" ht="46.8" x14ac:dyDescent="0.35">
      <c r="A103" s="23" t="s">
        <v>898</v>
      </c>
      <c r="B103" s="23" t="s">
        <v>859</v>
      </c>
      <c r="C103" s="275" t="s">
        <v>1013</v>
      </c>
      <c r="D103" s="274">
        <v>200000</v>
      </c>
      <c r="E103" s="23" t="s">
        <v>14</v>
      </c>
      <c r="F103" s="23" t="s">
        <v>1014</v>
      </c>
      <c r="G103" s="23" t="s">
        <v>613</v>
      </c>
      <c r="H103" s="23" t="s">
        <v>14</v>
      </c>
      <c r="I103" s="23" t="s">
        <v>14</v>
      </c>
    </row>
    <row r="104" spans="1:9" ht="46.8" x14ac:dyDescent="0.35">
      <c r="A104" s="23" t="s">
        <v>898</v>
      </c>
      <c r="B104" s="23" t="s">
        <v>859</v>
      </c>
      <c r="C104" s="275" t="s">
        <v>1015</v>
      </c>
      <c r="D104" s="274">
        <v>130000</v>
      </c>
      <c r="E104" s="23" t="s">
        <v>14</v>
      </c>
      <c r="F104" s="23" t="s">
        <v>1016</v>
      </c>
      <c r="G104" s="23" t="s">
        <v>77</v>
      </c>
      <c r="H104" s="23" t="s">
        <v>14</v>
      </c>
      <c r="I104" s="23" t="s">
        <v>14</v>
      </c>
    </row>
    <row r="105" spans="1:9" ht="46.8" x14ac:dyDescent="0.35">
      <c r="A105" s="23" t="s">
        <v>898</v>
      </c>
      <c r="B105" s="23" t="s">
        <v>859</v>
      </c>
      <c r="C105" s="275" t="s">
        <v>1017</v>
      </c>
      <c r="D105" s="274">
        <v>80000</v>
      </c>
      <c r="E105" s="23" t="s">
        <v>72</v>
      </c>
      <c r="F105" s="26" t="s">
        <v>1018</v>
      </c>
      <c r="G105" s="26" t="s">
        <v>270</v>
      </c>
      <c r="H105" s="23" t="s">
        <v>72</v>
      </c>
      <c r="I105" s="23" t="s">
        <v>14</v>
      </c>
    </row>
    <row r="106" spans="1:9" ht="140.4" x14ac:dyDescent="0.35">
      <c r="A106" s="23" t="s">
        <v>898</v>
      </c>
      <c r="B106" s="23" t="s">
        <v>859</v>
      </c>
      <c r="C106" s="275" t="s">
        <v>1019</v>
      </c>
      <c r="D106" s="274">
        <v>75000</v>
      </c>
      <c r="E106" s="23" t="s">
        <v>14</v>
      </c>
      <c r="F106" s="23" t="s">
        <v>1020</v>
      </c>
      <c r="G106" s="23" t="s">
        <v>270</v>
      </c>
      <c r="H106" s="23" t="s">
        <v>72</v>
      </c>
      <c r="I106" s="23" t="s">
        <v>14</v>
      </c>
    </row>
    <row r="107" spans="1:9" ht="46.8" x14ac:dyDescent="0.35">
      <c r="A107" s="23" t="s">
        <v>898</v>
      </c>
      <c r="B107" s="23" t="s">
        <v>859</v>
      </c>
      <c r="C107" s="275" t="s">
        <v>1021</v>
      </c>
      <c r="D107" s="274">
        <v>60000</v>
      </c>
      <c r="E107" s="23" t="s">
        <v>14</v>
      </c>
      <c r="F107" s="285" t="s">
        <v>1018</v>
      </c>
      <c r="G107" s="26" t="s">
        <v>77</v>
      </c>
      <c r="H107" s="23" t="s">
        <v>14</v>
      </c>
      <c r="I107" s="23" t="s">
        <v>14</v>
      </c>
    </row>
    <row r="108" spans="1:9" ht="46.8" x14ac:dyDescent="0.35">
      <c r="A108" s="23" t="s">
        <v>898</v>
      </c>
      <c r="B108" s="23" t="s">
        <v>859</v>
      </c>
      <c r="C108" s="273" t="s">
        <v>1022</v>
      </c>
      <c r="D108" s="276">
        <v>60000</v>
      </c>
      <c r="E108" s="23" t="s">
        <v>14</v>
      </c>
      <c r="F108" s="23" t="s">
        <v>1012</v>
      </c>
      <c r="G108" s="23" t="s">
        <v>77</v>
      </c>
      <c r="H108" s="23" t="s">
        <v>14</v>
      </c>
      <c r="I108" s="23" t="s">
        <v>14</v>
      </c>
    </row>
    <row r="109" spans="1:9" s="277" customFormat="1" ht="62.4" x14ac:dyDescent="0.35">
      <c r="A109" s="30" t="s">
        <v>898</v>
      </c>
      <c r="B109" s="30" t="s">
        <v>859</v>
      </c>
      <c r="C109" s="273" t="s">
        <v>1023</v>
      </c>
      <c r="D109" s="276">
        <v>50532.6</v>
      </c>
      <c r="E109" s="30" t="s">
        <v>14</v>
      </c>
      <c r="F109" s="156" t="s">
        <v>1024</v>
      </c>
      <c r="G109" s="30" t="s">
        <v>91</v>
      </c>
      <c r="H109" s="30" t="s">
        <v>14</v>
      </c>
      <c r="I109" s="30" t="s">
        <v>14</v>
      </c>
    </row>
    <row r="110" spans="1:9" s="277" customFormat="1" ht="46.8" x14ac:dyDescent="0.35">
      <c r="A110" s="30" t="s">
        <v>898</v>
      </c>
      <c r="B110" s="30" t="s">
        <v>859</v>
      </c>
      <c r="C110" s="273" t="s">
        <v>1025</v>
      </c>
      <c r="D110" s="276">
        <v>50000</v>
      </c>
      <c r="E110" s="30" t="s">
        <v>14</v>
      </c>
      <c r="F110" s="30" t="s">
        <v>1026</v>
      </c>
      <c r="G110" s="30" t="s">
        <v>77</v>
      </c>
      <c r="H110" s="30" t="s">
        <v>72</v>
      </c>
      <c r="I110" s="30" t="s">
        <v>14</v>
      </c>
    </row>
    <row r="111" spans="1:9" s="277" customFormat="1" ht="46.8" x14ac:dyDescent="0.35">
      <c r="A111" s="30" t="s">
        <v>898</v>
      </c>
      <c r="B111" s="30" t="s">
        <v>859</v>
      </c>
      <c r="C111" s="273" t="s">
        <v>1027</v>
      </c>
      <c r="D111" s="276">
        <v>40000</v>
      </c>
      <c r="E111" s="30" t="s">
        <v>14</v>
      </c>
      <c r="F111" s="156" t="s">
        <v>1018</v>
      </c>
      <c r="G111" s="30" t="s">
        <v>91</v>
      </c>
      <c r="H111" s="30" t="s">
        <v>14</v>
      </c>
      <c r="I111" s="30" t="s">
        <v>14</v>
      </c>
    </row>
    <row r="112" spans="1:9" ht="78" x14ac:dyDescent="0.35">
      <c r="A112" s="23" t="s">
        <v>898</v>
      </c>
      <c r="B112" s="23" t="s">
        <v>859</v>
      </c>
      <c r="C112" s="275" t="s">
        <v>1028</v>
      </c>
      <c r="D112" s="274">
        <v>30000</v>
      </c>
      <c r="E112" s="23" t="s">
        <v>14</v>
      </c>
      <c r="F112" s="23" t="s">
        <v>1012</v>
      </c>
      <c r="G112" s="23" t="s">
        <v>613</v>
      </c>
      <c r="H112" s="23" t="s">
        <v>14</v>
      </c>
      <c r="I112" s="23" t="s">
        <v>14</v>
      </c>
    </row>
    <row r="113" spans="1:9" ht="46.8" x14ac:dyDescent="0.35">
      <c r="A113" s="23" t="s">
        <v>898</v>
      </c>
      <c r="B113" s="23" t="s">
        <v>859</v>
      </c>
      <c r="C113" s="275" t="s">
        <v>1029</v>
      </c>
      <c r="D113" s="274">
        <v>30000</v>
      </c>
      <c r="E113" s="23" t="s">
        <v>14</v>
      </c>
      <c r="F113" s="23" t="s">
        <v>1020</v>
      </c>
      <c r="G113" s="23" t="s">
        <v>77</v>
      </c>
      <c r="H113" s="23" t="s">
        <v>72</v>
      </c>
      <c r="I113" s="23" t="s">
        <v>14</v>
      </c>
    </row>
    <row r="114" spans="1:9" ht="46.8" x14ac:dyDescent="0.35">
      <c r="A114" s="23" t="s">
        <v>898</v>
      </c>
      <c r="B114" s="23" t="s">
        <v>13</v>
      </c>
      <c r="C114" s="275" t="s">
        <v>1030</v>
      </c>
      <c r="D114" s="274">
        <v>81500</v>
      </c>
      <c r="E114" s="23" t="s">
        <v>72</v>
      </c>
      <c r="F114" s="23" t="s">
        <v>1031</v>
      </c>
      <c r="G114" s="23" t="s">
        <v>270</v>
      </c>
      <c r="H114" s="23" t="s">
        <v>72</v>
      </c>
      <c r="I114" s="23" t="s">
        <v>14</v>
      </c>
    </row>
    <row r="115" spans="1:9" ht="46.8" x14ac:dyDescent="0.35">
      <c r="A115" s="23" t="s">
        <v>898</v>
      </c>
      <c r="B115" s="23" t="s">
        <v>13</v>
      </c>
      <c r="C115" s="275" t="s">
        <v>1032</v>
      </c>
      <c r="D115" s="274">
        <v>60000</v>
      </c>
      <c r="E115" s="23" t="s">
        <v>72</v>
      </c>
      <c r="F115" s="23" t="s">
        <v>1033</v>
      </c>
      <c r="G115" s="23" t="s">
        <v>270</v>
      </c>
      <c r="H115" s="23" t="s">
        <v>72</v>
      </c>
      <c r="I115" s="23" t="s">
        <v>14</v>
      </c>
    </row>
    <row r="116" spans="1:9" ht="46.8" x14ac:dyDescent="0.35">
      <c r="A116" s="23" t="s">
        <v>898</v>
      </c>
      <c r="B116" s="23" t="s">
        <v>13</v>
      </c>
      <c r="C116" s="275" t="s">
        <v>1034</v>
      </c>
      <c r="D116" s="274">
        <v>36000</v>
      </c>
      <c r="E116" s="23" t="s">
        <v>14</v>
      </c>
      <c r="F116" s="23" t="s">
        <v>1035</v>
      </c>
      <c r="G116" s="23" t="s">
        <v>1004</v>
      </c>
      <c r="H116" s="23" t="s">
        <v>14</v>
      </c>
      <c r="I116" s="23" t="s">
        <v>14</v>
      </c>
    </row>
    <row r="117" spans="1:9" ht="46.8" x14ac:dyDescent="0.35">
      <c r="A117" s="23" t="s">
        <v>898</v>
      </c>
      <c r="B117" s="23" t="s">
        <v>13</v>
      </c>
      <c r="C117" s="275" t="s">
        <v>1036</v>
      </c>
      <c r="D117" s="274">
        <v>36000</v>
      </c>
      <c r="E117" s="23" t="s">
        <v>14</v>
      </c>
      <c r="F117" s="23" t="s">
        <v>1037</v>
      </c>
      <c r="G117" s="23" t="s">
        <v>100</v>
      </c>
      <c r="H117" s="23" t="s">
        <v>14</v>
      </c>
      <c r="I117" s="23" t="s">
        <v>14</v>
      </c>
    </row>
    <row r="118" spans="1:9" ht="46.8" x14ac:dyDescent="0.35">
      <c r="A118" s="23" t="s">
        <v>898</v>
      </c>
      <c r="B118" s="23" t="s">
        <v>13</v>
      </c>
      <c r="C118" s="275" t="s">
        <v>1038</v>
      </c>
      <c r="D118" s="274">
        <v>26802.11</v>
      </c>
      <c r="E118" s="23" t="s">
        <v>14</v>
      </c>
      <c r="F118" s="26" t="s">
        <v>1039</v>
      </c>
      <c r="G118" s="23" t="s">
        <v>270</v>
      </c>
      <c r="H118" s="23" t="s">
        <v>72</v>
      </c>
      <c r="I118" s="23" t="s">
        <v>14</v>
      </c>
    </row>
    <row r="120" spans="1:9" ht="21.9" customHeight="1" x14ac:dyDescent="0.35">
      <c r="A120" s="268" t="s">
        <v>1040</v>
      </c>
      <c r="B120" s="268"/>
      <c r="C120" s="268"/>
      <c r="D120" s="268"/>
      <c r="E120" s="268"/>
      <c r="F120" s="268"/>
      <c r="G120" s="268"/>
      <c r="H120" s="268"/>
      <c r="I120" s="268"/>
    </row>
    <row r="121" spans="1:9" x14ac:dyDescent="0.35">
      <c r="B121" s="38"/>
      <c r="C121" s="264"/>
      <c r="D121" s="286"/>
      <c r="E121" s="38"/>
      <c r="F121" s="61"/>
      <c r="G121" s="287"/>
      <c r="H121" s="38"/>
      <c r="I121" s="38"/>
    </row>
    <row r="122" spans="1:9" ht="22.35" customHeight="1" x14ac:dyDescent="0.35">
      <c r="A122" s="254" t="s">
        <v>857</v>
      </c>
      <c r="B122" s="254" t="s">
        <v>2</v>
      </c>
      <c r="C122" s="254" t="s">
        <v>4</v>
      </c>
      <c r="D122" s="254" t="s">
        <v>5</v>
      </c>
      <c r="E122" s="254" t="s">
        <v>6</v>
      </c>
      <c r="F122" s="254" t="s">
        <v>8</v>
      </c>
      <c r="G122" s="254" t="s">
        <v>9</v>
      </c>
      <c r="H122" s="254" t="s">
        <v>10</v>
      </c>
      <c r="I122" s="254" t="s">
        <v>11</v>
      </c>
    </row>
    <row r="123" spans="1:9" ht="30" customHeight="1" x14ac:dyDescent="0.35">
      <c r="A123" s="254"/>
      <c r="B123" s="254"/>
      <c r="C123" s="254"/>
      <c r="D123" s="254"/>
      <c r="E123" s="254"/>
      <c r="F123" s="254"/>
      <c r="G123" s="254"/>
      <c r="H123" s="254"/>
      <c r="I123" s="254"/>
    </row>
    <row r="124" spans="1:9" ht="31.2" x14ac:dyDescent="0.35">
      <c r="A124" s="23" t="s">
        <v>1041</v>
      </c>
      <c r="B124" s="57" t="s">
        <v>859</v>
      </c>
      <c r="C124" s="257" t="s">
        <v>1042</v>
      </c>
      <c r="D124" s="288">
        <v>40508.5</v>
      </c>
      <c r="E124" s="23" t="s">
        <v>14</v>
      </c>
      <c r="F124" s="23" t="s">
        <v>1043</v>
      </c>
      <c r="G124" s="57" t="s">
        <v>281</v>
      </c>
      <c r="H124" s="23" t="s">
        <v>14</v>
      </c>
      <c r="I124" s="23" t="s">
        <v>14</v>
      </c>
    </row>
    <row r="125" spans="1:9" ht="31.2" x14ac:dyDescent="0.35">
      <c r="A125" s="23" t="s">
        <v>1041</v>
      </c>
      <c r="B125" s="57" t="s">
        <v>50</v>
      </c>
      <c r="C125" s="257" t="s">
        <v>1044</v>
      </c>
      <c r="D125" s="289">
        <v>1845790.84</v>
      </c>
      <c r="E125" s="23" t="s">
        <v>14</v>
      </c>
      <c r="F125" s="23" t="s">
        <v>1045</v>
      </c>
      <c r="G125" s="57" t="s">
        <v>281</v>
      </c>
      <c r="H125" s="23" t="s">
        <v>14</v>
      </c>
      <c r="I125" s="23" t="s">
        <v>14</v>
      </c>
    </row>
    <row r="126" spans="1:9" ht="31.2" x14ac:dyDescent="0.35">
      <c r="A126" s="23" t="s">
        <v>1041</v>
      </c>
      <c r="B126" s="23" t="s">
        <v>859</v>
      </c>
      <c r="C126" s="275" t="s">
        <v>1046</v>
      </c>
      <c r="D126" s="289">
        <v>88395.41</v>
      </c>
      <c r="E126" s="23" t="s">
        <v>72</v>
      </c>
      <c r="F126" s="23" t="s">
        <v>1043</v>
      </c>
      <c r="G126" s="23" t="s">
        <v>77</v>
      </c>
      <c r="H126" s="23" t="s">
        <v>14</v>
      </c>
      <c r="I126" s="23" t="s">
        <v>14</v>
      </c>
    </row>
    <row r="127" spans="1:9" ht="31.2" x14ac:dyDescent="0.35">
      <c r="A127" s="23" t="s">
        <v>1041</v>
      </c>
      <c r="B127" s="57" t="s">
        <v>50</v>
      </c>
      <c r="C127" s="275" t="s">
        <v>1047</v>
      </c>
      <c r="D127" s="290">
        <v>5500000</v>
      </c>
      <c r="E127" s="23" t="s">
        <v>72</v>
      </c>
      <c r="F127" s="30" t="s">
        <v>1045</v>
      </c>
      <c r="G127" s="23" t="s">
        <v>77</v>
      </c>
      <c r="H127" s="23" t="s">
        <v>14</v>
      </c>
      <c r="I127" s="23" t="s">
        <v>14</v>
      </c>
    </row>
    <row r="128" spans="1:9" ht="31.2" x14ac:dyDescent="0.35">
      <c r="A128" s="23" t="s">
        <v>1041</v>
      </c>
      <c r="B128" s="23" t="s">
        <v>859</v>
      </c>
      <c r="C128" s="275" t="s">
        <v>1048</v>
      </c>
      <c r="D128" s="291">
        <v>37000</v>
      </c>
      <c r="E128" s="23" t="s">
        <v>14</v>
      </c>
      <c r="F128" s="23" t="s">
        <v>1043</v>
      </c>
      <c r="G128" s="57" t="s">
        <v>1049</v>
      </c>
      <c r="H128" s="23" t="s">
        <v>14</v>
      </c>
      <c r="I128" s="23" t="s">
        <v>14</v>
      </c>
    </row>
    <row r="129" spans="1:9" ht="31.2" x14ac:dyDescent="0.35">
      <c r="A129" s="23" t="s">
        <v>1041</v>
      </c>
      <c r="B129" s="23" t="s">
        <v>50</v>
      </c>
      <c r="C129" s="275" t="s">
        <v>1050</v>
      </c>
      <c r="D129" s="290">
        <v>1825000</v>
      </c>
      <c r="E129" s="30" t="s">
        <v>14</v>
      </c>
      <c r="F129" s="84" t="s">
        <v>1051</v>
      </c>
      <c r="G129" s="30" t="s">
        <v>200</v>
      </c>
      <c r="H129" s="23" t="s">
        <v>14</v>
      </c>
      <c r="I129" s="23" t="s">
        <v>14</v>
      </c>
    </row>
    <row r="130" spans="1:9" ht="31.2" x14ac:dyDescent="0.35">
      <c r="A130" s="23" t="s">
        <v>1041</v>
      </c>
      <c r="B130" s="57" t="s">
        <v>50</v>
      </c>
      <c r="C130" s="257" t="s">
        <v>1052</v>
      </c>
      <c r="D130" s="292">
        <v>525000</v>
      </c>
      <c r="E130" s="57" t="s">
        <v>14</v>
      </c>
      <c r="F130" s="57">
        <v>45220000</v>
      </c>
      <c r="G130" s="57" t="s">
        <v>91</v>
      </c>
      <c r="H130" s="57" t="s">
        <v>14</v>
      </c>
      <c r="I130" s="57" t="s">
        <v>14</v>
      </c>
    </row>
    <row r="131" spans="1:9" ht="31.2" x14ac:dyDescent="0.35">
      <c r="A131" s="23" t="s">
        <v>1041</v>
      </c>
      <c r="B131" s="57" t="s">
        <v>859</v>
      </c>
      <c r="C131" s="257" t="s">
        <v>1053</v>
      </c>
      <c r="D131" s="292">
        <v>19200</v>
      </c>
      <c r="E131" s="57" t="s">
        <v>14</v>
      </c>
      <c r="F131" s="57" t="s">
        <v>1043</v>
      </c>
      <c r="G131" s="57" t="s">
        <v>1054</v>
      </c>
      <c r="H131" s="57" t="s">
        <v>14</v>
      </c>
      <c r="I131" s="57" t="s">
        <v>14</v>
      </c>
    </row>
    <row r="132" spans="1:9" ht="31.2" x14ac:dyDescent="0.35">
      <c r="A132" s="23" t="s">
        <v>1041</v>
      </c>
      <c r="B132" s="30" t="s">
        <v>859</v>
      </c>
      <c r="C132" s="293" t="s">
        <v>1055</v>
      </c>
      <c r="D132" s="294">
        <v>67858.12</v>
      </c>
      <c r="E132" s="23" t="s">
        <v>14</v>
      </c>
      <c r="F132" s="26" t="s">
        <v>1056</v>
      </c>
      <c r="G132" s="26" t="s">
        <v>184</v>
      </c>
      <c r="H132" s="23" t="s">
        <v>14</v>
      </c>
      <c r="I132" s="23" t="s">
        <v>14</v>
      </c>
    </row>
    <row r="133" spans="1:9" ht="62.4" x14ac:dyDescent="0.35">
      <c r="A133" s="23" t="s">
        <v>1041</v>
      </c>
      <c r="B133" s="30" t="s">
        <v>50</v>
      </c>
      <c r="C133" s="293" t="s">
        <v>1057</v>
      </c>
      <c r="D133" s="294">
        <v>1222021.5</v>
      </c>
      <c r="E133" s="23" t="s">
        <v>14</v>
      </c>
      <c r="F133" s="26" t="s">
        <v>1058</v>
      </c>
      <c r="G133" s="26" t="s">
        <v>184</v>
      </c>
      <c r="H133" s="23" t="s">
        <v>14</v>
      </c>
      <c r="I133" s="23" t="s">
        <v>14</v>
      </c>
    </row>
    <row r="134" spans="1:9" ht="83.4" customHeight="1" x14ac:dyDescent="0.35">
      <c r="A134" s="23" t="s">
        <v>1041</v>
      </c>
      <c r="B134" s="30" t="s">
        <v>50</v>
      </c>
      <c r="C134" s="293" t="s">
        <v>1059</v>
      </c>
      <c r="D134" s="295">
        <v>1092786.9421487604</v>
      </c>
      <c r="E134" s="30" t="s">
        <v>14</v>
      </c>
      <c r="F134" s="26" t="s">
        <v>1060</v>
      </c>
      <c r="G134" s="23" t="s">
        <v>77</v>
      </c>
      <c r="H134" s="30" t="s">
        <v>14</v>
      </c>
      <c r="I134" s="30" t="s">
        <v>14</v>
      </c>
    </row>
    <row r="135" spans="1:9" ht="62.4" x14ac:dyDescent="0.35">
      <c r="A135" s="23" t="s">
        <v>1041</v>
      </c>
      <c r="B135" s="30" t="s">
        <v>859</v>
      </c>
      <c r="C135" s="293" t="s">
        <v>1061</v>
      </c>
      <c r="D135" s="295">
        <v>52573.157024793385</v>
      </c>
      <c r="E135" s="30" t="s">
        <v>14</v>
      </c>
      <c r="F135" s="26" t="s">
        <v>1056</v>
      </c>
      <c r="G135" s="23" t="s">
        <v>77</v>
      </c>
      <c r="H135" s="30" t="s">
        <v>14</v>
      </c>
      <c r="I135" s="30" t="s">
        <v>14</v>
      </c>
    </row>
    <row r="136" spans="1:9" ht="64.2" customHeight="1" x14ac:dyDescent="0.35">
      <c r="A136" s="23" t="s">
        <v>1041</v>
      </c>
      <c r="B136" s="30" t="s">
        <v>50</v>
      </c>
      <c r="C136" s="293" t="s">
        <v>1062</v>
      </c>
      <c r="D136" s="296">
        <f>1837857.01/1.21</f>
        <v>1518890.0909090911</v>
      </c>
      <c r="E136" s="30" t="s">
        <v>14</v>
      </c>
      <c r="F136" s="26" t="s">
        <v>1063</v>
      </c>
      <c r="G136" s="30" t="s">
        <v>1064</v>
      </c>
      <c r="H136" s="30" t="s">
        <v>14</v>
      </c>
      <c r="I136" s="30" t="s">
        <v>14</v>
      </c>
    </row>
    <row r="137" spans="1:9" ht="93.6" x14ac:dyDescent="0.35">
      <c r="A137" s="23" t="s">
        <v>1041</v>
      </c>
      <c r="B137" s="30" t="s">
        <v>859</v>
      </c>
      <c r="C137" s="293" t="s">
        <v>1065</v>
      </c>
      <c r="D137" s="296">
        <f>57063.2/1.21</f>
        <v>47159.669421487604</v>
      </c>
      <c r="E137" s="30" t="s">
        <v>14</v>
      </c>
      <c r="F137" s="26" t="s">
        <v>1066</v>
      </c>
      <c r="G137" s="30" t="s">
        <v>1064</v>
      </c>
      <c r="H137" s="30" t="s">
        <v>14</v>
      </c>
      <c r="I137" s="30" t="s">
        <v>14</v>
      </c>
    </row>
    <row r="138" spans="1:9" ht="31.2" x14ac:dyDescent="0.35">
      <c r="A138" s="23" t="s">
        <v>1041</v>
      </c>
      <c r="B138" s="30" t="s">
        <v>859</v>
      </c>
      <c r="C138" s="293" t="s">
        <v>1067</v>
      </c>
      <c r="D138" s="296">
        <v>224697.23</v>
      </c>
      <c r="E138" s="30" t="s">
        <v>14</v>
      </c>
      <c r="F138" s="26" t="s">
        <v>591</v>
      </c>
      <c r="G138" s="30" t="s">
        <v>100</v>
      </c>
      <c r="H138" s="30" t="s">
        <v>14</v>
      </c>
      <c r="I138" s="30" t="s">
        <v>14</v>
      </c>
    </row>
    <row r="139" spans="1:9" ht="46.8" x14ac:dyDescent="0.35">
      <c r="A139" s="23" t="s">
        <v>1041</v>
      </c>
      <c r="B139" s="30" t="s">
        <v>859</v>
      </c>
      <c r="C139" s="293" t="s">
        <v>1068</v>
      </c>
      <c r="D139" s="295">
        <v>50000</v>
      </c>
      <c r="E139" s="30" t="s">
        <v>14</v>
      </c>
      <c r="F139" s="26" t="s">
        <v>1066</v>
      </c>
      <c r="G139" s="23" t="s">
        <v>77</v>
      </c>
      <c r="H139" s="30" t="s">
        <v>14</v>
      </c>
      <c r="I139" s="30" t="s">
        <v>14</v>
      </c>
    </row>
    <row r="140" spans="1:9" ht="109.2" x14ac:dyDescent="0.35">
      <c r="A140" s="23" t="s">
        <v>1041</v>
      </c>
      <c r="B140" s="30" t="s">
        <v>50</v>
      </c>
      <c r="C140" s="293" t="s">
        <v>1069</v>
      </c>
      <c r="D140" s="295">
        <v>362006.24</v>
      </c>
      <c r="E140" s="30" t="s">
        <v>14</v>
      </c>
      <c r="F140" s="26" t="s">
        <v>1063</v>
      </c>
      <c r="G140" s="30" t="s">
        <v>200</v>
      </c>
      <c r="H140" s="30" t="s">
        <v>14</v>
      </c>
      <c r="I140" s="30" t="s">
        <v>14</v>
      </c>
    </row>
    <row r="141" spans="1:9" ht="110.4" customHeight="1" x14ac:dyDescent="0.35">
      <c r="A141" s="23" t="s">
        <v>1041</v>
      </c>
      <c r="B141" s="30" t="s">
        <v>859</v>
      </c>
      <c r="C141" s="293" t="s">
        <v>1070</v>
      </c>
      <c r="D141" s="295">
        <v>15000</v>
      </c>
      <c r="E141" s="30" t="s">
        <v>14</v>
      </c>
      <c r="F141" s="26" t="s">
        <v>1071</v>
      </c>
      <c r="G141" s="23" t="s">
        <v>200</v>
      </c>
      <c r="H141" s="30" t="s">
        <v>14</v>
      </c>
      <c r="I141" s="30" t="s">
        <v>14</v>
      </c>
    </row>
    <row r="142" spans="1:9" ht="31.2" x14ac:dyDescent="0.35">
      <c r="A142" s="23" t="s">
        <v>1041</v>
      </c>
      <c r="B142" s="30" t="s">
        <v>50</v>
      </c>
      <c r="C142" s="293" t="s">
        <v>1072</v>
      </c>
      <c r="D142" s="295">
        <v>4465698.66</v>
      </c>
      <c r="E142" s="30" t="s">
        <v>14</v>
      </c>
      <c r="F142" s="26" t="s">
        <v>1058</v>
      </c>
      <c r="G142" s="156" t="s">
        <v>613</v>
      </c>
      <c r="H142" s="30" t="s">
        <v>14</v>
      </c>
      <c r="I142" s="30" t="s">
        <v>14</v>
      </c>
    </row>
    <row r="143" spans="1:9" ht="31.2" x14ac:dyDescent="0.35">
      <c r="A143" s="23" t="s">
        <v>1041</v>
      </c>
      <c r="B143" s="30" t="s">
        <v>859</v>
      </c>
      <c r="C143" s="293" t="s">
        <v>1073</v>
      </c>
      <c r="D143" s="295">
        <v>70000</v>
      </c>
      <c r="E143" s="30" t="s">
        <v>14</v>
      </c>
      <c r="F143" s="26" t="s">
        <v>1066</v>
      </c>
      <c r="G143" s="156" t="s">
        <v>613</v>
      </c>
      <c r="H143" s="30" t="s">
        <v>14</v>
      </c>
      <c r="I143" s="30" t="s">
        <v>14</v>
      </c>
    </row>
    <row r="144" spans="1:9" ht="31.2" x14ac:dyDescent="0.35">
      <c r="A144" s="23" t="s">
        <v>1041</v>
      </c>
      <c r="B144" s="30" t="s">
        <v>50</v>
      </c>
      <c r="C144" s="293" t="s">
        <v>1074</v>
      </c>
      <c r="D144" s="295">
        <v>408766.17</v>
      </c>
      <c r="E144" s="23" t="s">
        <v>14</v>
      </c>
      <c r="F144" s="26" t="s">
        <v>1058</v>
      </c>
      <c r="G144" s="26" t="s">
        <v>184</v>
      </c>
      <c r="H144" s="23" t="s">
        <v>14</v>
      </c>
      <c r="I144" s="23" t="s">
        <v>14</v>
      </c>
    </row>
    <row r="145" spans="1:9" ht="48.6" customHeight="1" x14ac:dyDescent="0.35">
      <c r="A145" s="23" t="s">
        <v>1041</v>
      </c>
      <c r="B145" s="30" t="s">
        <v>20</v>
      </c>
      <c r="C145" s="293" t="s">
        <v>1075</v>
      </c>
      <c r="D145" s="295">
        <f>D144*0.06</f>
        <v>24525.9702</v>
      </c>
      <c r="E145" s="30" t="s">
        <v>14</v>
      </c>
      <c r="F145" s="26" t="s">
        <v>1066</v>
      </c>
      <c r="G145" s="30" t="s">
        <v>1064</v>
      </c>
      <c r="H145" s="30" t="s">
        <v>14</v>
      </c>
      <c r="I145" s="30" t="s">
        <v>14</v>
      </c>
    </row>
    <row r="146" spans="1:9" ht="46.8" x14ac:dyDescent="0.35">
      <c r="A146" s="23" t="s">
        <v>1041</v>
      </c>
      <c r="B146" s="30" t="s">
        <v>50</v>
      </c>
      <c r="C146" s="293" t="s">
        <v>1076</v>
      </c>
      <c r="D146" s="297">
        <v>135000</v>
      </c>
      <c r="E146" s="23" t="s">
        <v>14</v>
      </c>
      <c r="F146" s="26" t="s">
        <v>1077</v>
      </c>
      <c r="G146" s="26" t="s">
        <v>91</v>
      </c>
      <c r="H146" s="23" t="s">
        <v>14</v>
      </c>
      <c r="I146" s="23" t="s">
        <v>14</v>
      </c>
    </row>
    <row r="147" spans="1:9" ht="69" customHeight="1" x14ac:dyDescent="0.35">
      <c r="A147" s="23" t="s">
        <v>1041</v>
      </c>
      <c r="B147" s="30" t="s">
        <v>50</v>
      </c>
      <c r="C147" s="293" t="s">
        <v>1078</v>
      </c>
      <c r="D147" s="296">
        <f>800000/1.21</f>
        <v>661157.02479338844</v>
      </c>
      <c r="E147" s="30" t="s">
        <v>14</v>
      </c>
      <c r="F147" s="26" t="s">
        <v>1079</v>
      </c>
      <c r="G147" s="26" t="s">
        <v>91</v>
      </c>
      <c r="H147" s="23" t="s">
        <v>14</v>
      </c>
      <c r="I147" s="23" t="s">
        <v>14</v>
      </c>
    </row>
    <row r="148" spans="1:9" ht="78" x14ac:dyDescent="0.35">
      <c r="A148" s="23" t="s">
        <v>1041</v>
      </c>
      <c r="B148" s="30" t="s">
        <v>859</v>
      </c>
      <c r="C148" s="293" t="s">
        <v>1080</v>
      </c>
      <c r="D148" s="296">
        <v>30000</v>
      </c>
      <c r="E148" s="23" t="s">
        <v>14</v>
      </c>
      <c r="F148" s="26" t="s">
        <v>1066</v>
      </c>
      <c r="G148" s="26" t="s">
        <v>91</v>
      </c>
      <c r="H148" s="23" t="s">
        <v>14</v>
      </c>
      <c r="I148" s="23" t="s">
        <v>14</v>
      </c>
    </row>
    <row r="149" spans="1:9" ht="31.2" x14ac:dyDescent="0.35">
      <c r="A149" s="23" t="s">
        <v>1041</v>
      </c>
      <c r="B149" s="30" t="s">
        <v>50</v>
      </c>
      <c r="C149" s="293" t="s">
        <v>1081</v>
      </c>
      <c r="D149" s="296">
        <v>1978200</v>
      </c>
      <c r="E149" s="23" t="s">
        <v>14</v>
      </c>
      <c r="F149" s="26" t="s">
        <v>1058</v>
      </c>
      <c r="G149" s="26" t="s">
        <v>80</v>
      </c>
      <c r="H149" s="23" t="s">
        <v>14</v>
      </c>
      <c r="I149" s="23" t="s">
        <v>14</v>
      </c>
    </row>
    <row r="150" spans="1:9" ht="31.2" x14ac:dyDescent="0.35">
      <c r="A150" s="23" t="s">
        <v>1041</v>
      </c>
      <c r="B150" s="23" t="s">
        <v>13</v>
      </c>
      <c r="C150" s="275" t="s">
        <v>1082</v>
      </c>
      <c r="D150" s="296">
        <v>7000</v>
      </c>
      <c r="E150" s="23" t="s">
        <v>14</v>
      </c>
      <c r="F150" s="26" t="s">
        <v>1083</v>
      </c>
      <c r="G150" s="26" t="s">
        <v>24</v>
      </c>
      <c r="H150" s="23" t="s">
        <v>14</v>
      </c>
      <c r="I150" s="23" t="s">
        <v>14</v>
      </c>
    </row>
    <row r="151" spans="1:9" ht="31.2" x14ac:dyDescent="0.35">
      <c r="A151" s="23" t="s">
        <v>1041</v>
      </c>
      <c r="B151" s="23" t="s">
        <v>859</v>
      </c>
      <c r="C151" s="275" t="s">
        <v>1084</v>
      </c>
      <c r="D151" s="296">
        <v>270000</v>
      </c>
      <c r="E151" s="23" t="s">
        <v>14</v>
      </c>
      <c r="F151" s="23" t="s">
        <v>1085</v>
      </c>
      <c r="G151" s="23" t="s">
        <v>1086</v>
      </c>
      <c r="H151" s="23" t="s">
        <v>14</v>
      </c>
      <c r="I151" s="23" t="s">
        <v>14</v>
      </c>
    </row>
    <row r="152" spans="1:9" ht="31.2" x14ac:dyDescent="0.35">
      <c r="A152" s="23" t="s">
        <v>1041</v>
      </c>
      <c r="B152" s="23" t="s">
        <v>859</v>
      </c>
      <c r="C152" s="275" t="s">
        <v>1087</v>
      </c>
      <c r="D152" s="296">
        <v>45916</v>
      </c>
      <c r="E152" s="23" t="s">
        <v>14</v>
      </c>
      <c r="F152" s="23" t="s">
        <v>45</v>
      </c>
      <c r="G152" s="23" t="s">
        <v>1086</v>
      </c>
      <c r="H152" s="23" t="s">
        <v>72</v>
      </c>
      <c r="I152" s="23" t="s">
        <v>14</v>
      </c>
    </row>
    <row r="153" spans="1:9" ht="31.2" x14ac:dyDescent="0.35">
      <c r="A153" s="23" t="s">
        <v>1041</v>
      </c>
      <c r="B153" s="23" t="s">
        <v>859</v>
      </c>
      <c r="C153" s="275" t="s">
        <v>1088</v>
      </c>
      <c r="D153" s="296">
        <v>850000</v>
      </c>
      <c r="E153" s="23" t="s">
        <v>14</v>
      </c>
      <c r="F153" s="23" t="s">
        <v>644</v>
      </c>
      <c r="G153" s="23" t="s">
        <v>24</v>
      </c>
      <c r="H153" s="23" t="s">
        <v>72</v>
      </c>
      <c r="I153" s="23" t="s">
        <v>14</v>
      </c>
    </row>
    <row r="154" spans="1:9" ht="31.2" x14ac:dyDescent="0.35">
      <c r="A154" s="23" t="s">
        <v>1041</v>
      </c>
      <c r="B154" s="23" t="s">
        <v>859</v>
      </c>
      <c r="C154" s="275" t="s">
        <v>1089</v>
      </c>
      <c r="D154" s="296">
        <v>30600</v>
      </c>
      <c r="E154" s="23" t="s">
        <v>14</v>
      </c>
      <c r="F154" s="23" t="s">
        <v>45</v>
      </c>
      <c r="G154" s="23" t="s">
        <v>24</v>
      </c>
      <c r="H154" s="23" t="s">
        <v>72</v>
      </c>
      <c r="I154" s="23" t="s">
        <v>14</v>
      </c>
    </row>
    <row r="155" spans="1:9" ht="31.2" x14ac:dyDescent="0.35">
      <c r="A155" s="23" t="s">
        <v>1041</v>
      </c>
      <c r="B155" s="23" t="s">
        <v>859</v>
      </c>
      <c r="C155" s="275" t="s">
        <v>1090</v>
      </c>
      <c r="D155" s="296">
        <v>12400</v>
      </c>
      <c r="E155" s="23" t="s">
        <v>14</v>
      </c>
      <c r="F155" s="30" t="s">
        <v>1091</v>
      </c>
      <c r="G155" s="23" t="s">
        <v>24</v>
      </c>
      <c r="H155" s="23" t="s">
        <v>72</v>
      </c>
      <c r="I155" s="23" t="s">
        <v>14</v>
      </c>
    </row>
    <row r="156" spans="1:9" ht="31.2" x14ac:dyDescent="0.35">
      <c r="A156" s="23" t="s">
        <v>1041</v>
      </c>
      <c r="B156" s="23" t="s">
        <v>50</v>
      </c>
      <c r="C156" s="275" t="s">
        <v>1092</v>
      </c>
      <c r="D156" s="296">
        <v>83000</v>
      </c>
      <c r="E156" s="23" t="s">
        <v>14</v>
      </c>
      <c r="F156" s="23" t="s">
        <v>1093</v>
      </c>
      <c r="G156" s="23" t="s">
        <v>202</v>
      </c>
      <c r="H156" s="23" t="s">
        <v>14</v>
      </c>
      <c r="I156" s="23" t="s">
        <v>14</v>
      </c>
    </row>
    <row r="157" spans="1:9" ht="31.2" x14ac:dyDescent="0.35">
      <c r="A157" s="23" t="s">
        <v>1041</v>
      </c>
      <c r="B157" s="298" t="s">
        <v>859</v>
      </c>
      <c r="C157" s="299" t="s">
        <v>1094</v>
      </c>
      <c r="D157" s="296">
        <v>53514</v>
      </c>
      <c r="E157" s="298" t="s">
        <v>14</v>
      </c>
      <c r="F157" s="128" t="s">
        <v>660</v>
      </c>
      <c r="G157" s="298" t="s">
        <v>24</v>
      </c>
      <c r="H157" s="298" t="s">
        <v>72</v>
      </c>
      <c r="I157" s="298" t="s">
        <v>14</v>
      </c>
    </row>
    <row r="158" spans="1:9" ht="31.2" x14ac:dyDescent="0.35">
      <c r="A158" s="23" t="s">
        <v>1041</v>
      </c>
      <c r="B158" s="298" t="s">
        <v>859</v>
      </c>
      <c r="C158" s="275" t="s">
        <v>1095</v>
      </c>
      <c r="D158" s="291">
        <v>13000</v>
      </c>
      <c r="E158" s="23" t="s">
        <v>14</v>
      </c>
      <c r="F158" s="26" t="s">
        <v>1096</v>
      </c>
      <c r="G158" s="26" t="s">
        <v>1097</v>
      </c>
      <c r="H158" s="23" t="s">
        <v>14</v>
      </c>
      <c r="I158" s="298" t="s">
        <v>14</v>
      </c>
    </row>
    <row r="160" spans="1:9" ht="22.8" customHeight="1" x14ac:dyDescent="0.35">
      <c r="A160" s="268" t="s">
        <v>1098</v>
      </c>
      <c r="B160" s="268"/>
      <c r="C160" s="268"/>
      <c r="D160" s="268"/>
      <c r="E160" s="268"/>
      <c r="F160" s="268"/>
      <c r="G160" s="268"/>
      <c r="H160" s="268"/>
      <c r="I160" s="268"/>
    </row>
    <row r="161" spans="1:9" x14ac:dyDescent="0.35">
      <c r="B161" s="300"/>
      <c r="C161" s="301"/>
      <c r="D161" s="302"/>
      <c r="E161" s="300"/>
      <c r="F161" s="65"/>
      <c r="G161" s="303"/>
      <c r="H161" s="300"/>
      <c r="I161" s="300"/>
    </row>
    <row r="162" spans="1:9" ht="33.6" customHeight="1" x14ac:dyDescent="0.35">
      <c r="A162" s="254" t="s">
        <v>857</v>
      </c>
      <c r="B162" s="271" t="s">
        <v>2</v>
      </c>
      <c r="C162" s="271" t="s">
        <v>4</v>
      </c>
      <c r="D162" s="271" t="s">
        <v>5</v>
      </c>
      <c r="E162" s="271" t="s">
        <v>6</v>
      </c>
      <c r="F162" s="271" t="s">
        <v>8</v>
      </c>
      <c r="G162" s="271" t="s">
        <v>9</v>
      </c>
      <c r="H162" s="271" t="s">
        <v>10</v>
      </c>
      <c r="I162" s="271" t="s">
        <v>11</v>
      </c>
    </row>
    <row r="163" spans="1:9" ht="18" customHeight="1" x14ac:dyDescent="0.35">
      <c r="A163" s="254"/>
      <c r="B163" s="304"/>
      <c r="C163" s="304"/>
      <c r="D163" s="304"/>
      <c r="E163" s="304"/>
      <c r="F163" s="304"/>
      <c r="G163" s="304"/>
      <c r="H163" s="304"/>
      <c r="I163" s="304"/>
    </row>
    <row r="164" spans="1:9" ht="104.4" customHeight="1" x14ac:dyDescent="0.35">
      <c r="A164" s="23" t="s">
        <v>1099</v>
      </c>
      <c r="B164" s="23" t="s">
        <v>859</v>
      </c>
      <c r="C164" s="275" t="s">
        <v>1100</v>
      </c>
      <c r="D164" s="305" t="s">
        <v>1101</v>
      </c>
      <c r="E164" s="23" t="s">
        <v>72</v>
      </c>
      <c r="F164" s="306" t="s">
        <v>1102</v>
      </c>
      <c r="G164" s="26" t="s">
        <v>120</v>
      </c>
      <c r="H164" s="23" t="s">
        <v>14</v>
      </c>
      <c r="I164" s="23" t="s">
        <v>14</v>
      </c>
    </row>
    <row r="165" spans="1:9" ht="98.4" customHeight="1" x14ac:dyDescent="0.35">
      <c r="A165" s="57" t="s">
        <v>1099</v>
      </c>
      <c r="B165" s="57" t="s">
        <v>859</v>
      </c>
      <c r="C165" s="257" t="s">
        <v>1103</v>
      </c>
      <c r="D165" s="305">
        <v>6554.8</v>
      </c>
      <c r="E165" s="57" t="s">
        <v>14</v>
      </c>
      <c r="F165" s="307" t="s">
        <v>1104</v>
      </c>
      <c r="G165" s="57" t="s">
        <v>24</v>
      </c>
      <c r="H165" s="57" t="s">
        <v>14</v>
      </c>
      <c r="I165" s="57" t="s">
        <v>14</v>
      </c>
    </row>
    <row r="166" spans="1:9" ht="93.6" x14ac:dyDescent="0.35">
      <c r="A166" s="23" t="s">
        <v>1099</v>
      </c>
      <c r="B166" s="23" t="s">
        <v>859</v>
      </c>
      <c r="C166" s="275" t="s">
        <v>1105</v>
      </c>
      <c r="D166" s="305">
        <v>37800</v>
      </c>
      <c r="E166" s="23" t="s">
        <v>14</v>
      </c>
      <c r="F166" s="307" t="s">
        <v>1104</v>
      </c>
      <c r="G166" s="23" t="s">
        <v>18</v>
      </c>
      <c r="H166" s="23" t="s">
        <v>14</v>
      </c>
      <c r="I166" s="23" t="s">
        <v>14</v>
      </c>
    </row>
    <row r="167" spans="1:9" ht="93.6" x14ac:dyDescent="0.35">
      <c r="A167" s="23" t="s">
        <v>1099</v>
      </c>
      <c r="B167" s="23" t="s">
        <v>859</v>
      </c>
      <c r="C167" s="275" t="s">
        <v>1106</v>
      </c>
      <c r="D167" s="305">
        <v>4874.8</v>
      </c>
      <c r="E167" s="23" t="s">
        <v>14</v>
      </c>
      <c r="F167" s="33" t="s">
        <v>430</v>
      </c>
      <c r="G167" s="23" t="s">
        <v>120</v>
      </c>
      <c r="H167" s="23" t="s">
        <v>14</v>
      </c>
      <c r="I167" s="23" t="s">
        <v>14</v>
      </c>
    </row>
    <row r="168" spans="1:9" ht="93.6" x14ac:dyDescent="0.35">
      <c r="A168" s="23" t="s">
        <v>1099</v>
      </c>
      <c r="B168" s="23" t="s">
        <v>859</v>
      </c>
      <c r="C168" s="275" t="s">
        <v>1107</v>
      </c>
      <c r="D168" s="305">
        <v>10000</v>
      </c>
      <c r="E168" s="23" t="s">
        <v>14</v>
      </c>
      <c r="F168" s="307" t="s">
        <v>1104</v>
      </c>
      <c r="G168" s="23" t="s">
        <v>18</v>
      </c>
      <c r="H168" s="23" t="s">
        <v>14</v>
      </c>
      <c r="I168" s="23" t="s">
        <v>14</v>
      </c>
    </row>
    <row r="169" spans="1:9" ht="93.6" x14ac:dyDescent="0.35">
      <c r="A169" s="23" t="s">
        <v>1099</v>
      </c>
      <c r="B169" s="23" t="s">
        <v>859</v>
      </c>
      <c r="C169" s="275" t="s">
        <v>1108</v>
      </c>
      <c r="D169" s="305">
        <v>30000</v>
      </c>
      <c r="E169" s="23" t="s">
        <v>14</v>
      </c>
      <c r="F169" s="308">
        <v>85147000</v>
      </c>
      <c r="G169" s="23" t="s">
        <v>18</v>
      </c>
      <c r="H169" s="23" t="s">
        <v>14</v>
      </c>
      <c r="I169" s="23" t="s">
        <v>14</v>
      </c>
    </row>
    <row r="170" spans="1:9" ht="93.6" x14ac:dyDescent="0.35">
      <c r="A170" s="23" t="s">
        <v>1099</v>
      </c>
      <c r="B170" s="23" t="s">
        <v>859</v>
      </c>
      <c r="C170" s="275" t="s">
        <v>1109</v>
      </c>
      <c r="D170" s="305">
        <v>88000</v>
      </c>
      <c r="E170" s="23" t="s">
        <v>14</v>
      </c>
      <c r="F170" s="308" t="s">
        <v>1110</v>
      </c>
      <c r="G170" s="23" t="s">
        <v>120</v>
      </c>
      <c r="H170" s="23" t="s">
        <v>14</v>
      </c>
      <c r="I170" s="23" t="s">
        <v>14</v>
      </c>
    </row>
    <row r="171" spans="1:9" ht="93.6" x14ac:dyDescent="0.35">
      <c r="A171" s="23" t="s">
        <v>1111</v>
      </c>
      <c r="B171" s="57" t="s">
        <v>859</v>
      </c>
      <c r="C171" s="257" t="s">
        <v>1112</v>
      </c>
      <c r="D171" s="305">
        <v>1900000</v>
      </c>
      <c r="E171" s="57" t="s">
        <v>72</v>
      </c>
      <c r="F171" s="307" t="s">
        <v>867</v>
      </c>
      <c r="G171" s="57" t="s">
        <v>120</v>
      </c>
      <c r="H171" s="57" t="s">
        <v>14</v>
      </c>
      <c r="I171" s="57" t="s">
        <v>14</v>
      </c>
    </row>
    <row r="172" spans="1:9" ht="93.6" x14ac:dyDescent="0.35">
      <c r="A172" s="23" t="s">
        <v>1099</v>
      </c>
      <c r="B172" s="23" t="s">
        <v>13</v>
      </c>
      <c r="C172" s="275" t="s">
        <v>1113</v>
      </c>
      <c r="D172" s="305">
        <v>120000</v>
      </c>
      <c r="E172" s="23" t="s">
        <v>14</v>
      </c>
      <c r="F172" s="308" t="s">
        <v>1114</v>
      </c>
      <c r="G172" s="23" t="s">
        <v>120</v>
      </c>
      <c r="H172" s="23" t="s">
        <v>14</v>
      </c>
      <c r="I172" s="23" t="s">
        <v>14</v>
      </c>
    </row>
    <row r="173" spans="1:9" ht="93.6" x14ac:dyDescent="0.35">
      <c r="A173" s="23" t="s">
        <v>1111</v>
      </c>
      <c r="B173" s="23" t="s">
        <v>859</v>
      </c>
      <c r="C173" s="257" t="s">
        <v>1115</v>
      </c>
      <c r="D173" s="305">
        <v>360000</v>
      </c>
      <c r="E173" s="23" t="s">
        <v>14</v>
      </c>
      <c r="F173" s="309">
        <v>92312000</v>
      </c>
      <c r="G173" s="23" t="s">
        <v>24</v>
      </c>
      <c r="H173" s="23" t="s">
        <v>14</v>
      </c>
      <c r="I173" s="23" t="s">
        <v>14</v>
      </c>
    </row>
    <row r="174" spans="1:9" ht="93.6" x14ac:dyDescent="0.35">
      <c r="A174" s="23" t="s">
        <v>1111</v>
      </c>
      <c r="B174" s="23" t="s">
        <v>859</v>
      </c>
      <c r="C174" s="275" t="s">
        <v>1116</v>
      </c>
      <c r="D174" s="305">
        <v>465663.81</v>
      </c>
      <c r="E174" s="23" t="s">
        <v>14</v>
      </c>
      <c r="F174" s="308" t="s">
        <v>1117</v>
      </c>
      <c r="G174" s="23" t="s">
        <v>120</v>
      </c>
      <c r="H174" s="23" t="s">
        <v>14</v>
      </c>
      <c r="I174" s="23" t="s">
        <v>14</v>
      </c>
    </row>
    <row r="175" spans="1:9" ht="93.6" x14ac:dyDescent="0.35">
      <c r="A175" s="23" t="s">
        <v>1111</v>
      </c>
      <c r="B175" s="23" t="s">
        <v>859</v>
      </c>
      <c r="C175" s="275" t="s">
        <v>1118</v>
      </c>
      <c r="D175" s="305">
        <v>2000000</v>
      </c>
      <c r="E175" s="23" t="s">
        <v>14</v>
      </c>
      <c r="F175" s="308" t="s">
        <v>1119</v>
      </c>
      <c r="G175" s="23" t="s">
        <v>120</v>
      </c>
      <c r="H175" s="23" t="s">
        <v>14</v>
      </c>
      <c r="I175" s="23" t="s">
        <v>14</v>
      </c>
    </row>
    <row r="176" spans="1:9" ht="93.6" x14ac:dyDescent="0.35">
      <c r="A176" s="23" t="s">
        <v>1111</v>
      </c>
      <c r="B176" s="23" t="s">
        <v>859</v>
      </c>
      <c r="C176" s="275" t="s">
        <v>1120</v>
      </c>
      <c r="D176" s="305">
        <v>1400000</v>
      </c>
      <c r="E176" s="23" t="s">
        <v>14</v>
      </c>
      <c r="F176" s="308" t="s">
        <v>796</v>
      </c>
      <c r="G176" s="23" t="s">
        <v>120</v>
      </c>
      <c r="H176" s="23" t="s">
        <v>14</v>
      </c>
      <c r="I176" s="23" t="s">
        <v>14</v>
      </c>
    </row>
    <row r="177" spans="1:9" x14ac:dyDescent="0.35">
      <c r="A177" s="61"/>
      <c r="B177" s="61"/>
      <c r="C177" s="269"/>
      <c r="D177" s="310"/>
      <c r="E177" s="61"/>
      <c r="F177" s="61"/>
      <c r="G177" s="61"/>
      <c r="H177" s="61"/>
      <c r="I177" s="61"/>
    </row>
    <row r="178" spans="1:9" x14ac:dyDescent="0.35">
      <c r="A178" s="61"/>
      <c r="B178" s="61"/>
      <c r="C178" s="269"/>
      <c r="D178" s="310"/>
      <c r="E178" s="61"/>
      <c r="F178" s="61"/>
      <c r="G178" s="61"/>
      <c r="H178" s="61"/>
      <c r="I178" s="61"/>
    </row>
    <row r="179" spans="1:9" x14ac:dyDescent="0.35">
      <c r="A179" s="61"/>
      <c r="B179" s="61"/>
      <c r="C179" s="269"/>
      <c r="D179" s="310"/>
      <c r="E179" s="61"/>
      <c r="F179" s="61"/>
      <c r="G179" s="61"/>
      <c r="H179" s="61"/>
      <c r="I179" s="61"/>
    </row>
    <row r="180" spans="1:9" x14ac:dyDescent="0.35">
      <c r="A180" s="61"/>
      <c r="B180" s="61"/>
      <c r="C180" s="269"/>
      <c r="D180" s="310"/>
      <c r="E180" s="61"/>
      <c r="F180" s="61"/>
      <c r="G180" s="61"/>
      <c r="H180" s="61"/>
      <c r="I180" s="61"/>
    </row>
    <row r="181" spans="1:9" x14ac:dyDescent="0.35">
      <c r="A181" s="61"/>
      <c r="B181" s="61"/>
      <c r="C181" s="269"/>
      <c r="D181" s="310"/>
      <c r="E181" s="61"/>
      <c r="F181" s="61"/>
      <c r="G181" s="61"/>
      <c r="H181" s="61"/>
      <c r="I181" s="61"/>
    </row>
    <row r="182" spans="1:9" x14ac:dyDescent="0.35">
      <c r="A182" s="61"/>
      <c r="B182" s="61"/>
      <c r="C182" s="269"/>
      <c r="D182" s="310"/>
      <c r="E182" s="61"/>
      <c r="F182" s="61"/>
      <c r="G182" s="61"/>
      <c r="H182" s="61"/>
      <c r="I182" s="61"/>
    </row>
    <row r="183" spans="1:9" x14ac:dyDescent="0.35">
      <c r="A183" s="61"/>
      <c r="B183" s="61"/>
      <c r="C183" s="269"/>
      <c r="D183" s="310"/>
      <c r="E183" s="61"/>
      <c r="F183" s="61"/>
      <c r="G183" s="61"/>
      <c r="H183" s="61"/>
      <c r="I183" s="61"/>
    </row>
    <row r="184" spans="1:9" x14ac:dyDescent="0.35">
      <c r="A184" s="61"/>
      <c r="B184" s="61"/>
      <c r="C184" s="269"/>
      <c r="D184" s="310"/>
      <c r="E184" s="61"/>
      <c r="F184" s="61"/>
      <c r="G184" s="61"/>
      <c r="H184" s="61"/>
      <c r="I184" s="61"/>
    </row>
    <row r="185" spans="1:9" x14ac:dyDescent="0.35">
      <c r="A185" s="61"/>
      <c r="B185" s="61"/>
      <c r="C185" s="269"/>
      <c r="D185" s="310"/>
      <c r="E185" s="61"/>
      <c r="F185" s="61"/>
      <c r="G185" s="61"/>
      <c r="H185" s="61"/>
      <c r="I185" s="61"/>
    </row>
    <row r="186" spans="1:9" x14ac:dyDescent="0.35">
      <c r="A186" s="61"/>
      <c r="B186" s="61"/>
      <c r="C186" s="269"/>
      <c r="D186" s="310"/>
      <c r="E186" s="61"/>
      <c r="F186" s="61"/>
      <c r="G186" s="61"/>
      <c r="H186" s="61"/>
      <c r="I186" s="61"/>
    </row>
    <row r="187" spans="1:9" x14ac:dyDescent="0.35">
      <c r="A187" s="61"/>
      <c r="B187" s="61"/>
      <c r="C187" s="269"/>
      <c r="D187" s="310"/>
      <c r="E187" s="61"/>
      <c r="F187" s="61"/>
      <c r="G187" s="61"/>
      <c r="H187" s="61"/>
      <c r="I187" s="61"/>
    </row>
    <row r="188" spans="1:9" x14ac:dyDescent="0.35">
      <c r="A188" s="61"/>
      <c r="B188" s="61"/>
      <c r="C188" s="269"/>
      <c r="D188" s="310"/>
      <c r="E188" s="61"/>
      <c r="F188" s="61"/>
      <c r="G188" s="61"/>
      <c r="H188" s="61"/>
      <c r="I188" s="61"/>
    </row>
    <row r="189" spans="1:9" x14ac:dyDescent="0.35">
      <c r="A189" s="61"/>
      <c r="B189" s="61"/>
      <c r="C189" s="269"/>
      <c r="D189" s="310"/>
      <c r="E189" s="61"/>
      <c r="F189" s="61"/>
      <c r="G189" s="61"/>
      <c r="H189" s="61"/>
      <c r="I189" s="61"/>
    </row>
    <row r="190" spans="1:9" x14ac:dyDescent="0.35">
      <c r="A190" s="61"/>
      <c r="B190" s="61"/>
      <c r="C190" s="269"/>
      <c r="D190" s="310"/>
      <c r="E190" s="61"/>
      <c r="F190" s="61"/>
      <c r="G190" s="61"/>
      <c r="H190" s="61"/>
      <c r="I190" s="61"/>
    </row>
    <row r="191" spans="1:9" ht="21.6" customHeight="1" x14ac:dyDescent="0.35">
      <c r="A191" s="268" t="s">
        <v>1121</v>
      </c>
      <c r="B191" s="268"/>
      <c r="C191" s="268"/>
      <c r="D191" s="268"/>
      <c r="E191" s="268"/>
      <c r="F191" s="268"/>
      <c r="G191" s="268"/>
      <c r="H191" s="268"/>
      <c r="I191" s="268"/>
    </row>
    <row r="192" spans="1:9" x14ac:dyDescent="0.35">
      <c r="E192" s="31"/>
      <c r="F192" s="311"/>
      <c r="G192" s="311"/>
      <c r="I192" s="312"/>
    </row>
    <row r="193" spans="1:9" ht="22.35" customHeight="1" x14ac:dyDescent="0.35">
      <c r="A193" s="254" t="s">
        <v>857</v>
      </c>
      <c r="B193" s="254" t="s">
        <v>2</v>
      </c>
      <c r="C193" s="254" t="s">
        <v>4</v>
      </c>
      <c r="D193" s="254" t="s">
        <v>5</v>
      </c>
      <c r="E193" s="254" t="s">
        <v>6</v>
      </c>
      <c r="F193" s="313" t="s">
        <v>8</v>
      </c>
      <c r="G193" s="313" t="s">
        <v>9</v>
      </c>
      <c r="H193" s="254" t="s">
        <v>10</v>
      </c>
      <c r="I193" s="254" t="s">
        <v>11</v>
      </c>
    </row>
    <row r="194" spans="1:9" ht="30" customHeight="1" x14ac:dyDescent="0.35">
      <c r="A194" s="254"/>
      <c r="B194" s="254"/>
      <c r="C194" s="254"/>
      <c r="D194" s="254"/>
      <c r="E194" s="254"/>
      <c r="F194" s="313"/>
      <c r="G194" s="313"/>
      <c r="H194" s="254"/>
      <c r="I194" s="254"/>
    </row>
    <row r="195" spans="1:9" ht="140.4" x14ac:dyDescent="0.35">
      <c r="A195" s="106" t="s">
        <v>1122</v>
      </c>
      <c r="B195" s="30" t="s">
        <v>859</v>
      </c>
      <c r="C195" s="314" t="s">
        <v>1123</v>
      </c>
      <c r="D195" s="296">
        <v>998086.65</v>
      </c>
      <c r="E195" s="30" t="s">
        <v>72</v>
      </c>
      <c r="F195" s="156" t="s">
        <v>1124</v>
      </c>
      <c r="G195" s="156" t="s">
        <v>77</v>
      </c>
      <c r="H195" s="30" t="s">
        <v>103</v>
      </c>
      <c r="I195" s="30" t="s">
        <v>14</v>
      </c>
    </row>
    <row r="196" spans="1:9" ht="62.4" x14ac:dyDescent="0.35">
      <c r="A196" s="106" t="s">
        <v>1125</v>
      </c>
      <c r="B196" s="30" t="s">
        <v>859</v>
      </c>
      <c r="C196" s="314" t="s">
        <v>1126</v>
      </c>
      <c r="D196" s="296">
        <v>28000</v>
      </c>
      <c r="E196" s="30" t="s">
        <v>14</v>
      </c>
      <c r="F196" s="84" t="s">
        <v>1127</v>
      </c>
      <c r="G196" s="156" t="s">
        <v>77</v>
      </c>
      <c r="H196" s="30" t="s">
        <v>14</v>
      </c>
      <c r="I196" s="30" t="s">
        <v>14</v>
      </c>
    </row>
    <row r="197" spans="1:9" ht="62.4" x14ac:dyDescent="0.35">
      <c r="A197" s="106" t="s">
        <v>1125</v>
      </c>
      <c r="B197" s="30" t="s">
        <v>160</v>
      </c>
      <c r="C197" s="273" t="s">
        <v>1128</v>
      </c>
      <c r="D197" s="296">
        <v>950</v>
      </c>
      <c r="E197" s="30" t="s">
        <v>14</v>
      </c>
      <c r="F197" s="30">
        <v>66514110</v>
      </c>
      <c r="G197" s="30" t="s">
        <v>77</v>
      </c>
      <c r="H197" s="30" t="s">
        <v>103</v>
      </c>
      <c r="I197" s="30" t="s">
        <v>14</v>
      </c>
    </row>
    <row r="198" spans="1:9" ht="78" x14ac:dyDescent="0.35">
      <c r="A198" s="106" t="s">
        <v>1125</v>
      </c>
      <c r="B198" s="30" t="s">
        <v>160</v>
      </c>
      <c r="C198" s="273" t="s">
        <v>1129</v>
      </c>
      <c r="D198" s="296">
        <v>70000</v>
      </c>
      <c r="E198" s="30" t="s">
        <v>14</v>
      </c>
      <c r="F198" s="156" t="s">
        <v>1130</v>
      </c>
      <c r="G198" s="30" t="s">
        <v>77</v>
      </c>
      <c r="H198" s="30" t="s">
        <v>103</v>
      </c>
      <c r="I198" s="30" t="s">
        <v>14</v>
      </c>
    </row>
    <row r="199" spans="1:9" ht="62.4" x14ac:dyDescent="0.35">
      <c r="A199" s="106" t="s">
        <v>1125</v>
      </c>
      <c r="B199" s="30" t="s">
        <v>859</v>
      </c>
      <c r="C199" s="273" t="s">
        <v>1131</v>
      </c>
      <c r="D199" s="296">
        <v>43623.83</v>
      </c>
      <c r="E199" s="30" t="s">
        <v>72</v>
      </c>
      <c r="F199" s="84" t="s">
        <v>1132</v>
      </c>
      <c r="G199" s="30" t="s">
        <v>77</v>
      </c>
      <c r="H199" s="30" t="s">
        <v>14</v>
      </c>
      <c r="I199" s="30" t="s">
        <v>14</v>
      </c>
    </row>
    <row r="200" spans="1:9" ht="62.4" x14ac:dyDescent="0.35">
      <c r="A200" s="106" t="s">
        <v>1125</v>
      </c>
      <c r="B200" s="30" t="s">
        <v>859</v>
      </c>
      <c r="C200" s="314" t="s">
        <v>1133</v>
      </c>
      <c r="D200" s="296">
        <v>55398</v>
      </c>
      <c r="E200" s="30" t="s">
        <v>14</v>
      </c>
      <c r="F200" s="84" t="s">
        <v>1134</v>
      </c>
      <c r="G200" s="30" t="s">
        <v>270</v>
      </c>
      <c r="H200" s="30" t="s">
        <v>103</v>
      </c>
      <c r="I200" s="30" t="s">
        <v>14</v>
      </c>
    </row>
    <row r="201" spans="1:9" ht="62.4" x14ac:dyDescent="0.35">
      <c r="A201" s="106" t="s">
        <v>1125</v>
      </c>
      <c r="B201" s="30" t="s">
        <v>859</v>
      </c>
      <c r="C201" s="273" t="s">
        <v>1135</v>
      </c>
      <c r="D201" s="296">
        <v>15000</v>
      </c>
      <c r="E201" s="30" t="s">
        <v>14</v>
      </c>
      <c r="F201" s="298">
        <v>80500000</v>
      </c>
      <c r="G201" s="30" t="s">
        <v>270</v>
      </c>
      <c r="H201" s="30" t="s">
        <v>103</v>
      </c>
      <c r="I201" s="30" t="s">
        <v>14</v>
      </c>
    </row>
    <row r="202" spans="1:9" ht="62.4" x14ac:dyDescent="0.35">
      <c r="A202" s="106" t="s">
        <v>1125</v>
      </c>
      <c r="B202" s="30" t="s">
        <v>859</v>
      </c>
      <c r="C202" s="314" t="s">
        <v>1136</v>
      </c>
      <c r="D202" s="296">
        <v>50571</v>
      </c>
      <c r="E202" s="30" t="s">
        <v>14</v>
      </c>
      <c r="F202" s="84" t="s">
        <v>1137</v>
      </c>
      <c r="G202" s="30" t="s">
        <v>270</v>
      </c>
      <c r="H202" s="30" t="s">
        <v>103</v>
      </c>
      <c r="I202" s="30" t="s">
        <v>14</v>
      </c>
    </row>
    <row r="203" spans="1:9" ht="62.4" x14ac:dyDescent="0.35">
      <c r="A203" s="106" t="s">
        <v>1125</v>
      </c>
      <c r="B203" s="30" t="s">
        <v>859</v>
      </c>
      <c r="C203" s="314" t="s">
        <v>1138</v>
      </c>
      <c r="D203" s="296">
        <v>48554</v>
      </c>
      <c r="E203" s="30" t="s">
        <v>14</v>
      </c>
      <c r="F203" s="84" t="s">
        <v>1139</v>
      </c>
      <c r="G203" s="30" t="s">
        <v>77</v>
      </c>
      <c r="H203" s="30" t="s">
        <v>103</v>
      </c>
      <c r="I203" s="30" t="s">
        <v>14</v>
      </c>
    </row>
    <row r="204" spans="1:9" ht="62.4" x14ac:dyDescent="0.35">
      <c r="A204" s="106" t="s">
        <v>1125</v>
      </c>
      <c r="B204" s="30" t="s">
        <v>859</v>
      </c>
      <c r="C204" s="314" t="s">
        <v>1140</v>
      </c>
      <c r="D204" s="296">
        <v>25500</v>
      </c>
      <c r="E204" s="30" t="s">
        <v>14</v>
      </c>
      <c r="F204" s="84" t="s">
        <v>1141</v>
      </c>
      <c r="G204" s="30" t="s">
        <v>1004</v>
      </c>
      <c r="H204" s="30" t="s">
        <v>14</v>
      </c>
      <c r="I204" s="30" t="s">
        <v>14</v>
      </c>
    </row>
    <row r="205" spans="1:9" ht="62.4" x14ac:dyDescent="0.35">
      <c r="A205" s="106" t="s">
        <v>1125</v>
      </c>
      <c r="B205" s="30" t="s">
        <v>859</v>
      </c>
      <c r="C205" s="314" t="s">
        <v>1142</v>
      </c>
      <c r="D205" s="296">
        <v>12000</v>
      </c>
      <c r="E205" s="30" t="s">
        <v>14</v>
      </c>
      <c r="F205" s="84">
        <v>66510000</v>
      </c>
      <c r="G205" s="30" t="s">
        <v>77</v>
      </c>
      <c r="H205" s="30" t="s">
        <v>103</v>
      </c>
      <c r="I205" s="30" t="s">
        <v>14</v>
      </c>
    </row>
    <row r="206" spans="1:9" ht="93.6" x14ac:dyDescent="0.35">
      <c r="A206" s="106" t="s">
        <v>1125</v>
      </c>
      <c r="B206" s="30" t="s">
        <v>859</v>
      </c>
      <c r="C206" s="273" t="s">
        <v>1143</v>
      </c>
      <c r="D206" s="296">
        <v>71990</v>
      </c>
      <c r="E206" s="30" t="s">
        <v>14</v>
      </c>
      <c r="F206" s="30" t="s">
        <v>1144</v>
      </c>
      <c r="G206" s="30" t="s">
        <v>77</v>
      </c>
      <c r="H206" s="30" t="s">
        <v>14</v>
      </c>
      <c r="I206" s="30" t="s">
        <v>258</v>
      </c>
    </row>
    <row r="207" spans="1:9" ht="62.4" x14ac:dyDescent="0.35">
      <c r="A207" s="106" t="s">
        <v>1125</v>
      </c>
      <c r="B207" s="30" t="s">
        <v>859</v>
      </c>
      <c r="C207" s="273" t="s">
        <v>1145</v>
      </c>
      <c r="D207" s="296">
        <v>104040.64</v>
      </c>
      <c r="E207" s="30" t="s">
        <v>14</v>
      </c>
      <c r="F207" s="30">
        <v>72000000</v>
      </c>
      <c r="G207" s="30" t="s">
        <v>77</v>
      </c>
      <c r="H207" s="30" t="s">
        <v>103</v>
      </c>
      <c r="I207" s="30" t="s">
        <v>14</v>
      </c>
    </row>
    <row r="208" spans="1:9" ht="62.4" x14ac:dyDescent="0.35">
      <c r="A208" s="106" t="s">
        <v>1125</v>
      </c>
      <c r="B208" s="30" t="s">
        <v>13</v>
      </c>
      <c r="C208" s="273" t="s">
        <v>1146</v>
      </c>
      <c r="D208" s="291">
        <v>16000</v>
      </c>
      <c r="E208" s="30" t="s">
        <v>14</v>
      </c>
      <c r="F208" s="30">
        <v>15981000</v>
      </c>
      <c r="G208" s="30" t="s">
        <v>1004</v>
      </c>
      <c r="H208" s="30" t="s">
        <v>14</v>
      </c>
      <c r="I208" s="30" t="s">
        <v>14</v>
      </c>
    </row>
    <row r="209" spans="1:9" ht="62.4" x14ac:dyDescent="0.35">
      <c r="A209" s="106" t="s">
        <v>1125</v>
      </c>
      <c r="B209" s="30" t="s">
        <v>13</v>
      </c>
      <c r="C209" s="273" t="s">
        <v>1147</v>
      </c>
      <c r="D209" s="291">
        <v>7220</v>
      </c>
      <c r="E209" s="30" t="s">
        <v>14</v>
      </c>
      <c r="F209" s="30">
        <v>30213200</v>
      </c>
      <c r="G209" s="30" t="s">
        <v>270</v>
      </c>
      <c r="H209" s="30" t="s">
        <v>14</v>
      </c>
      <c r="I209" s="30" t="s">
        <v>14</v>
      </c>
    </row>
    <row r="210" spans="1:9" ht="62.4" x14ac:dyDescent="0.35">
      <c r="A210" s="106" t="s">
        <v>1125</v>
      </c>
      <c r="B210" s="30" t="s">
        <v>13</v>
      </c>
      <c r="C210" s="273" t="s">
        <v>1148</v>
      </c>
      <c r="D210" s="291">
        <v>59563.64</v>
      </c>
      <c r="E210" s="30" t="s">
        <v>14</v>
      </c>
      <c r="F210" s="30" t="s">
        <v>1149</v>
      </c>
      <c r="G210" s="30" t="s">
        <v>1004</v>
      </c>
      <c r="H210" s="30" t="s">
        <v>14</v>
      </c>
      <c r="I210" s="30" t="s">
        <v>14</v>
      </c>
    </row>
    <row r="211" spans="1:9" ht="62.4" x14ac:dyDescent="0.35">
      <c r="A211" s="106" t="s">
        <v>1125</v>
      </c>
      <c r="B211" s="30" t="s">
        <v>13</v>
      </c>
      <c r="C211" s="273" t="s">
        <v>1150</v>
      </c>
      <c r="D211" s="296">
        <v>72757</v>
      </c>
      <c r="E211" s="30" t="s">
        <v>72</v>
      </c>
      <c r="F211" s="30" t="s">
        <v>1151</v>
      </c>
      <c r="G211" s="30" t="s">
        <v>77</v>
      </c>
      <c r="H211" s="30" t="s">
        <v>14</v>
      </c>
      <c r="I211" s="30" t="s">
        <v>14</v>
      </c>
    </row>
    <row r="212" spans="1:9" ht="93.6" x14ac:dyDescent="0.35">
      <c r="A212" s="106" t="s">
        <v>1125</v>
      </c>
      <c r="B212" s="30" t="s">
        <v>859</v>
      </c>
      <c r="C212" s="314" t="s">
        <v>1152</v>
      </c>
      <c r="D212" s="296">
        <v>96894.66</v>
      </c>
      <c r="E212" s="30" t="s">
        <v>72</v>
      </c>
      <c r="F212" s="84" t="s">
        <v>1153</v>
      </c>
      <c r="G212" s="156" t="s">
        <v>77</v>
      </c>
      <c r="H212" s="30" t="s">
        <v>14</v>
      </c>
      <c r="I212" s="30" t="s">
        <v>14</v>
      </c>
    </row>
    <row r="213" spans="1:9" ht="62.4" x14ac:dyDescent="0.35">
      <c r="A213" s="106" t="s">
        <v>1125</v>
      </c>
      <c r="B213" s="30" t="s">
        <v>859</v>
      </c>
      <c r="C213" s="314" t="s">
        <v>1154</v>
      </c>
      <c r="D213" s="296">
        <v>49955</v>
      </c>
      <c r="E213" s="30" t="s">
        <v>14</v>
      </c>
      <c r="F213" s="84" t="s">
        <v>644</v>
      </c>
      <c r="G213" s="156" t="s">
        <v>77</v>
      </c>
      <c r="H213" s="30" t="s">
        <v>14</v>
      </c>
      <c r="I213" s="30" t="s">
        <v>14</v>
      </c>
    </row>
    <row r="214" spans="1:9" ht="62.4" x14ac:dyDescent="0.35">
      <c r="A214" s="106" t="s">
        <v>1125</v>
      </c>
      <c r="B214" s="30" t="s">
        <v>859</v>
      </c>
      <c r="C214" s="314" t="s">
        <v>1155</v>
      </c>
      <c r="D214" s="296">
        <v>189000</v>
      </c>
      <c r="E214" s="30" t="s">
        <v>14</v>
      </c>
      <c r="F214" s="84">
        <v>79956000</v>
      </c>
      <c r="G214" s="156" t="s">
        <v>1156</v>
      </c>
      <c r="H214" s="30" t="s">
        <v>14</v>
      </c>
      <c r="I214" s="30" t="s">
        <v>14</v>
      </c>
    </row>
    <row r="215" spans="1:9" ht="78" x14ac:dyDescent="0.35">
      <c r="A215" s="106" t="s">
        <v>1125</v>
      </c>
      <c r="B215" s="30" t="s">
        <v>859</v>
      </c>
      <c r="C215" s="314" t="s">
        <v>1157</v>
      </c>
      <c r="D215" s="296">
        <v>125840</v>
      </c>
      <c r="E215" s="30" t="s">
        <v>72</v>
      </c>
      <c r="F215" s="298">
        <v>80500000</v>
      </c>
      <c r="G215" s="156" t="s">
        <v>77</v>
      </c>
      <c r="H215" s="30" t="s">
        <v>14</v>
      </c>
      <c r="I215" s="30" t="s">
        <v>14</v>
      </c>
    </row>
    <row r="216" spans="1:9" ht="93.6" x14ac:dyDescent="0.35">
      <c r="A216" s="106" t="s">
        <v>1125</v>
      </c>
      <c r="B216" s="30" t="s">
        <v>859</v>
      </c>
      <c r="C216" s="314" t="s">
        <v>1158</v>
      </c>
      <c r="D216" s="296">
        <v>218987.11</v>
      </c>
      <c r="E216" s="30" t="s">
        <v>72</v>
      </c>
      <c r="F216" s="298">
        <v>80500000</v>
      </c>
      <c r="G216" s="156" t="s">
        <v>77</v>
      </c>
      <c r="H216" s="30" t="s">
        <v>14</v>
      </c>
      <c r="I216" s="30" t="s">
        <v>14</v>
      </c>
    </row>
    <row r="217" spans="1:9" ht="78" x14ac:dyDescent="0.35">
      <c r="A217" s="106" t="s">
        <v>1125</v>
      </c>
      <c r="B217" s="30" t="s">
        <v>859</v>
      </c>
      <c r="C217" s="314" t="s">
        <v>1159</v>
      </c>
      <c r="D217" s="296">
        <v>114459</v>
      </c>
      <c r="E217" s="30" t="s">
        <v>72</v>
      </c>
      <c r="F217" s="298">
        <v>80500000</v>
      </c>
      <c r="G217" s="156" t="s">
        <v>77</v>
      </c>
      <c r="H217" s="30" t="s">
        <v>14</v>
      </c>
      <c r="I217" s="30" t="s">
        <v>14</v>
      </c>
    </row>
    <row r="218" spans="1:9" ht="62.4" x14ac:dyDescent="0.35">
      <c r="A218" s="106" t="s">
        <v>1125</v>
      </c>
      <c r="B218" s="30" t="s">
        <v>859</v>
      </c>
      <c r="C218" s="314" t="s">
        <v>1160</v>
      </c>
      <c r="D218" s="296">
        <v>26000</v>
      </c>
      <c r="E218" s="30" t="s">
        <v>14</v>
      </c>
      <c r="F218" s="156" t="s">
        <v>1161</v>
      </c>
      <c r="G218" s="156" t="s">
        <v>270</v>
      </c>
      <c r="H218" s="30" t="s">
        <v>103</v>
      </c>
      <c r="I218" s="30" t="s">
        <v>258</v>
      </c>
    </row>
    <row r="219" spans="1:9" ht="62.4" x14ac:dyDescent="0.35">
      <c r="A219" s="106" t="s">
        <v>1125</v>
      </c>
      <c r="B219" s="30" t="s">
        <v>859</v>
      </c>
      <c r="C219" s="314" t="s">
        <v>1162</v>
      </c>
      <c r="D219" s="315" t="s">
        <v>1163</v>
      </c>
      <c r="E219" s="30" t="s">
        <v>72</v>
      </c>
      <c r="F219" s="298">
        <v>79311000</v>
      </c>
      <c r="G219" s="156" t="s">
        <v>77</v>
      </c>
      <c r="H219" s="30" t="s">
        <v>14</v>
      </c>
      <c r="I219" s="30" t="s">
        <v>14</v>
      </c>
    </row>
    <row r="220" spans="1:9" ht="62.4" x14ac:dyDescent="0.35">
      <c r="A220" s="106" t="s">
        <v>1125</v>
      </c>
      <c r="B220" s="30" t="s">
        <v>859</v>
      </c>
      <c r="C220" s="314" t="s">
        <v>1164</v>
      </c>
      <c r="D220" s="296">
        <v>90775.4</v>
      </c>
      <c r="E220" s="30" t="s">
        <v>72</v>
      </c>
      <c r="F220" s="156" t="s">
        <v>1165</v>
      </c>
      <c r="G220" s="156" t="s">
        <v>77</v>
      </c>
      <c r="H220" s="30" t="s">
        <v>14</v>
      </c>
      <c r="I220" s="30" t="s">
        <v>14</v>
      </c>
    </row>
    <row r="222" spans="1:9" ht="18" customHeight="1" x14ac:dyDescent="0.35">
      <c r="A222" s="268" t="s">
        <v>1166</v>
      </c>
      <c r="B222" s="268"/>
      <c r="C222" s="268"/>
      <c r="D222" s="268"/>
      <c r="E222" s="268"/>
      <c r="F222" s="268"/>
      <c r="G222" s="268"/>
      <c r="H222" s="268"/>
      <c r="I222" s="268"/>
    </row>
    <row r="223" spans="1:9" x14ac:dyDescent="0.35">
      <c r="E223" s="31"/>
      <c r="F223" s="311"/>
      <c r="G223" s="311"/>
      <c r="I223" s="312"/>
    </row>
    <row r="224" spans="1:9" ht="23.7" customHeight="1" x14ac:dyDescent="0.35">
      <c r="A224" s="254" t="s">
        <v>857</v>
      </c>
      <c r="B224" s="254" t="s">
        <v>2</v>
      </c>
      <c r="C224" s="254" t="s">
        <v>4</v>
      </c>
      <c r="D224" s="254" t="s">
        <v>5</v>
      </c>
      <c r="E224" s="254" t="s">
        <v>6</v>
      </c>
      <c r="F224" s="313" t="s">
        <v>8</v>
      </c>
      <c r="G224" s="313" t="s">
        <v>9</v>
      </c>
      <c r="H224" s="254" t="s">
        <v>10</v>
      </c>
      <c r="I224" s="254" t="s">
        <v>11</v>
      </c>
    </row>
    <row r="225" spans="1:9" ht="30" customHeight="1" x14ac:dyDescent="0.35">
      <c r="A225" s="271"/>
      <c r="B225" s="271"/>
      <c r="C225" s="271"/>
      <c r="D225" s="271"/>
      <c r="E225" s="271"/>
      <c r="F225" s="316"/>
      <c r="G225" s="316"/>
      <c r="H225" s="271"/>
      <c r="I225" s="271"/>
    </row>
    <row r="226" spans="1:9" ht="62.4" x14ac:dyDescent="0.35">
      <c r="A226" s="23" t="s">
        <v>1167</v>
      </c>
      <c r="B226" s="23" t="s">
        <v>859</v>
      </c>
      <c r="C226" s="293" t="s">
        <v>1168</v>
      </c>
      <c r="D226" s="317">
        <v>60000</v>
      </c>
      <c r="E226" s="23" t="s">
        <v>14</v>
      </c>
      <c r="F226" s="26" t="s">
        <v>1169</v>
      </c>
      <c r="G226" s="26" t="s">
        <v>24</v>
      </c>
      <c r="H226" s="23" t="s">
        <v>72</v>
      </c>
      <c r="I226" s="23" t="s">
        <v>14</v>
      </c>
    </row>
    <row r="227" spans="1:9" ht="62.4" x14ac:dyDescent="0.35">
      <c r="A227" s="23" t="s">
        <v>1167</v>
      </c>
      <c r="B227" s="23" t="s">
        <v>859</v>
      </c>
      <c r="C227" s="293" t="s">
        <v>1170</v>
      </c>
      <c r="D227" s="317">
        <v>124800</v>
      </c>
      <c r="E227" s="23" t="s">
        <v>72</v>
      </c>
      <c r="F227" s="26" t="s">
        <v>1171</v>
      </c>
      <c r="G227" s="23" t="s">
        <v>24</v>
      </c>
      <c r="H227" s="23" t="s">
        <v>72</v>
      </c>
      <c r="I227" s="23" t="s">
        <v>14</v>
      </c>
    </row>
    <row r="228" spans="1:9" ht="62.4" x14ac:dyDescent="0.35">
      <c r="A228" s="23" t="s">
        <v>1167</v>
      </c>
      <c r="B228" s="23" t="s">
        <v>859</v>
      </c>
      <c r="C228" s="293" t="s">
        <v>1172</v>
      </c>
      <c r="D228" s="317">
        <f>42*45*36</f>
        <v>68040</v>
      </c>
      <c r="E228" s="23" t="s">
        <v>14</v>
      </c>
      <c r="F228" s="23" t="s">
        <v>1173</v>
      </c>
      <c r="G228" s="23" t="s">
        <v>24</v>
      </c>
      <c r="H228" s="23" t="s">
        <v>72</v>
      </c>
      <c r="I228" s="23" t="s">
        <v>14</v>
      </c>
    </row>
    <row r="229" spans="1:9" ht="93.6" x14ac:dyDescent="0.35">
      <c r="A229" s="23" t="s">
        <v>1167</v>
      </c>
      <c r="B229" s="23" t="s">
        <v>859</v>
      </c>
      <c r="C229" s="293" t="s">
        <v>1174</v>
      </c>
      <c r="D229" s="317">
        <v>80000</v>
      </c>
      <c r="E229" s="23" t="s">
        <v>72</v>
      </c>
      <c r="F229" s="23" t="s">
        <v>1175</v>
      </c>
      <c r="G229" s="23" t="s">
        <v>24</v>
      </c>
      <c r="H229" s="23" t="s">
        <v>72</v>
      </c>
      <c r="I229" s="23" t="s">
        <v>14</v>
      </c>
    </row>
    <row r="230" spans="1:9" ht="62.4" x14ac:dyDescent="0.35">
      <c r="A230" s="23" t="s">
        <v>1167</v>
      </c>
      <c r="B230" s="23" t="s">
        <v>859</v>
      </c>
      <c r="C230" s="293" t="s">
        <v>1176</v>
      </c>
      <c r="D230" s="317">
        <v>79800</v>
      </c>
      <c r="E230" s="23" t="s">
        <v>14</v>
      </c>
      <c r="F230" s="26" t="s">
        <v>1177</v>
      </c>
      <c r="G230" s="23" t="s">
        <v>24</v>
      </c>
      <c r="H230" s="23" t="s">
        <v>14</v>
      </c>
      <c r="I230" s="23" t="s">
        <v>14</v>
      </c>
    </row>
    <row r="232" spans="1:9" ht="17.7" customHeight="1" x14ac:dyDescent="0.35">
      <c r="A232" s="268" t="s">
        <v>1178</v>
      </c>
      <c r="B232" s="268"/>
      <c r="C232" s="268"/>
      <c r="D232" s="268"/>
      <c r="E232" s="268"/>
      <c r="F232" s="268"/>
      <c r="G232" s="268"/>
      <c r="H232" s="268"/>
      <c r="I232" s="268"/>
    </row>
    <row r="233" spans="1:9" x14ac:dyDescent="0.35">
      <c r="E233" s="31"/>
      <c r="F233" s="311"/>
      <c r="G233" s="311"/>
      <c r="I233" s="312"/>
    </row>
    <row r="234" spans="1:9" ht="22.5" customHeight="1" x14ac:dyDescent="0.35">
      <c r="A234" s="254" t="s">
        <v>857</v>
      </c>
      <c r="B234" s="254" t="s">
        <v>2</v>
      </c>
      <c r="C234" s="254" t="s">
        <v>4</v>
      </c>
      <c r="D234" s="254" t="s">
        <v>5</v>
      </c>
      <c r="E234" s="254" t="s">
        <v>6</v>
      </c>
      <c r="F234" s="313" t="s">
        <v>8</v>
      </c>
      <c r="G234" s="313" t="s">
        <v>9</v>
      </c>
      <c r="H234" s="254" t="s">
        <v>10</v>
      </c>
      <c r="I234" s="254" t="s">
        <v>11</v>
      </c>
    </row>
    <row r="235" spans="1:9" ht="33.6" customHeight="1" x14ac:dyDescent="0.35">
      <c r="A235" s="271"/>
      <c r="B235" s="254"/>
      <c r="C235" s="254"/>
      <c r="D235" s="254"/>
      <c r="E235" s="254"/>
      <c r="F235" s="313"/>
      <c r="G235" s="313"/>
      <c r="H235" s="254"/>
      <c r="I235" s="254"/>
    </row>
    <row r="236" spans="1:9" ht="49.2" customHeight="1" x14ac:dyDescent="0.35">
      <c r="A236" s="23" t="s">
        <v>1179</v>
      </c>
      <c r="B236" s="57" t="s">
        <v>859</v>
      </c>
      <c r="C236" s="275" t="s">
        <v>1180</v>
      </c>
      <c r="D236" s="294">
        <v>19002.75</v>
      </c>
      <c r="E236" s="23" t="s">
        <v>14</v>
      </c>
      <c r="F236" s="23" t="s">
        <v>1181</v>
      </c>
      <c r="G236" s="26" t="s">
        <v>77</v>
      </c>
      <c r="H236" s="23" t="s">
        <v>14</v>
      </c>
      <c r="I236" s="23" t="s">
        <v>14</v>
      </c>
    </row>
    <row r="237" spans="1:9" ht="41.4" customHeight="1" x14ac:dyDescent="0.35">
      <c r="A237" s="23" t="s">
        <v>1179</v>
      </c>
      <c r="B237" s="57" t="s">
        <v>859</v>
      </c>
      <c r="C237" s="275" t="s">
        <v>1182</v>
      </c>
      <c r="D237" s="294">
        <v>20876.259999999998</v>
      </c>
      <c r="E237" s="23" t="s">
        <v>14</v>
      </c>
      <c r="F237" s="23" t="s">
        <v>415</v>
      </c>
      <c r="G237" s="26" t="s">
        <v>77</v>
      </c>
      <c r="H237" s="23" t="s">
        <v>14</v>
      </c>
      <c r="I237" s="23" t="s">
        <v>14</v>
      </c>
    </row>
    <row r="238" spans="1:9" ht="46.8" x14ac:dyDescent="0.35">
      <c r="A238" s="23" t="s">
        <v>1179</v>
      </c>
      <c r="B238" s="23" t="s">
        <v>50</v>
      </c>
      <c r="C238" s="275" t="s">
        <v>1183</v>
      </c>
      <c r="D238" s="294">
        <v>796242.09</v>
      </c>
      <c r="E238" s="23" t="s">
        <v>14</v>
      </c>
      <c r="F238" s="23" t="s">
        <v>1045</v>
      </c>
      <c r="G238" s="26" t="s">
        <v>77</v>
      </c>
      <c r="H238" s="23" t="s">
        <v>14</v>
      </c>
      <c r="I238" s="23" t="s">
        <v>14</v>
      </c>
    </row>
    <row r="239" spans="1:9" ht="46.8" x14ac:dyDescent="0.35">
      <c r="A239" s="23" t="s">
        <v>1179</v>
      </c>
      <c r="B239" s="57" t="s">
        <v>859</v>
      </c>
      <c r="C239" s="275" t="s">
        <v>1184</v>
      </c>
      <c r="D239" s="294">
        <v>30000</v>
      </c>
      <c r="E239" s="23" t="s">
        <v>14</v>
      </c>
      <c r="F239" s="23" t="s">
        <v>415</v>
      </c>
      <c r="G239" s="26" t="s">
        <v>1185</v>
      </c>
      <c r="H239" s="23" t="s">
        <v>14</v>
      </c>
      <c r="I239" s="23" t="s">
        <v>14</v>
      </c>
    </row>
    <row r="240" spans="1:9" ht="46.8" x14ac:dyDescent="0.35">
      <c r="A240" s="23" t="s">
        <v>1179</v>
      </c>
      <c r="B240" s="23" t="s">
        <v>50</v>
      </c>
      <c r="C240" s="275" t="s">
        <v>1186</v>
      </c>
      <c r="D240" s="294">
        <v>1300000</v>
      </c>
      <c r="E240" s="23" t="s">
        <v>14</v>
      </c>
      <c r="F240" s="23" t="s">
        <v>1045</v>
      </c>
      <c r="G240" s="26" t="s">
        <v>1185</v>
      </c>
      <c r="H240" s="23" t="s">
        <v>14</v>
      </c>
      <c r="I240" s="23" t="s">
        <v>14</v>
      </c>
    </row>
    <row r="241" spans="1:9" ht="46.8" x14ac:dyDescent="0.35">
      <c r="A241" s="23" t="s">
        <v>1179</v>
      </c>
      <c r="B241" s="57" t="s">
        <v>859</v>
      </c>
      <c r="C241" s="275" t="s">
        <v>1187</v>
      </c>
      <c r="D241" s="294">
        <v>11000000</v>
      </c>
      <c r="E241" s="30" t="s">
        <v>14</v>
      </c>
      <c r="F241" s="30" t="s">
        <v>1188</v>
      </c>
      <c r="G241" s="30" t="s">
        <v>1064</v>
      </c>
      <c r="H241" s="23" t="s">
        <v>14</v>
      </c>
      <c r="I241" s="23" t="s">
        <v>14</v>
      </c>
    </row>
    <row r="242" spans="1:9" ht="46.8" x14ac:dyDescent="0.35">
      <c r="A242" s="23" t="s">
        <v>1179</v>
      </c>
      <c r="B242" s="57" t="s">
        <v>859</v>
      </c>
      <c r="C242" s="275" t="s">
        <v>1189</v>
      </c>
      <c r="D242" s="294">
        <v>115000</v>
      </c>
      <c r="E242" s="30" t="s">
        <v>14</v>
      </c>
      <c r="F242" s="30" t="s">
        <v>1190</v>
      </c>
      <c r="G242" s="30" t="s">
        <v>1064</v>
      </c>
      <c r="H242" s="23" t="s">
        <v>14</v>
      </c>
      <c r="I242" s="23" t="s">
        <v>14</v>
      </c>
    </row>
    <row r="243" spans="1:9" ht="46.8" x14ac:dyDescent="0.35">
      <c r="A243" s="23" t="s">
        <v>1179</v>
      </c>
      <c r="B243" s="57" t="s">
        <v>859</v>
      </c>
      <c r="C243" s="275" t="s">
        <v>1191</v>
      </c>
      <c r="D243" s="294">
        <v>120000</v>
      </c>
      <c r="E243" s="30" t="s">
        <v>14</v>
      </c>
      <c r="F243" s="30" t="s">
        <v>1043</v>
      </c>
      <c r="G243" s="30" t="s">
        <v>1064</v>
      </c>
      <c r="H243" s="23" t="s">
        <v>14</v>
      </c>
      <c r="I243" s="23" t="s">
        <v>14</v>
      </c>
    </row>
    <row r="244" spans="1:9" ht="46.8" x14ac:dyDescent="0.35">
      <c r="A244" s="23" t="s">
        <v>1179</v>
      </c>
      <c r="B244" s="57" t="s">
        <v>859</v>
      </c>
      <c r="C244" s="275" t="s">
        <v>1192</v>
      </c>
      <c r="D244" s="294">
        <v>450000</v>
      </c>
      <c r="E244" s="23" t="s">
        <v>14</v>
      </c>
      <c r="F244" s="23" t="s">
        <v>1181</v>
      </c>
      <c r="G244" s="23" t="s">
        <v>91</v>
      </c>
      <c r="H244" s="23" t="s">
        <v>14</v>
      </c>
      <c r="I244" s="23" t="s">
        <v>14</v>
      </c>
    </row>
    <row r="245" spans="1:9" ht="46.8" x14ac:dyDescent="0.35">
      <c r="A245" s="23" t="s">
        <v>1179</v>
      </c>
      <c r="B245" s="57" t="s">
        <v>859</v>
      </c>
      <c r="C245" s="275" t="s">
        <v>1193</v>
      </c>
      <c r="D245" s="294">
        <v>300000</v>
      </c>
      <c r="E245" s="23" t="s">
        <v>14</v>
      </c>
      <c r="F245" s="23" t="s">
        <v>1181</v>
      </c>
      <c r="G245" s="23" t="s">
        <v>91</v>
      </c>
      <c r="H245" s="23" t="s">
        <v>14</v>
      </c>
      <c r="I245" s="23" t="s">
        <v>14</v>
      </c>
    </row>
    <row r="246" spans="1:9" ht="46.8" x14ac:dyDescent="0.35">
      <c r="A246" s="23" t="s">
        <v>1179</v>
      </c>
      <c r="B246" s="57" t="s">
        <v>859</v>
      </c>
      <c r="C246" s="275" t="s">
        <v>1194</v>
      </c>
      <c r="D246" s="294">
        <v>200000</v>
      </c>
      <c r="E246" s="23" t="s">
        <v>14</v>
      </c>
      <c r="F246" s="23" t="s">
        <v>1181</v>
      </c>
      <c r="G246" s="23" t="s">
        <v>91</v>
      </c>
      <c r="H246" s="23" t="s">
        <v>14</v>
      </c>
      <c r="I246" s="23" t="s">
        <v>14</v>
      </c>
    </row>
    <row r="247" spans="1:9" ht="46.8" x14ac:dyDescent="0.35">
      <c r="A247" s="23" t="s">
        <v>1179</v>
      </c>
      <c r="B247" s="57" t="s">
        <v>50</v>
      </c>
      <c r="C247" s="257" t="s">
        <v>1195</v>
      </c>
      <c r="D247" s="288" t="s">
        <v>1196</v>
      </c>
      <c r="E247" s="57" t="s">
        <v>14</v>
      </c>
      <c r="F247" s="57" t="s">
        <v>1045</v>
      </c>
      <c r="G247" s="57" t="s">
        <v>77</v>
      </c>
      <c r="H247" s="57" t="s">
        <v>72</v>
      </c>
      <c r="I247" s="57" t="s">
        <v>14</v>
      </c>
    </row>
    <row r="248" spans="1:9" ht="46.8" x14ac:dyDescent="0.35">
      <c r="A248" s="23" t="s">
        <v>1179</v>
      </c>
      <c r="B248" s="23" t="s">
        <v>859</v>
      </c>
      <c r="C248" s="275" t="s">
        <v>1197</v>
      </c>
      <c r="D248" s="288">
        <v>1700000</v>
      </c>
      <c r="E248" s="23" t="s">
        <v>14</v>
      </c>
      <c r="F248" s="23" t="s">
        <v>1198</v>
      </c>
      <c r="G248" s="26" t="s">
        <v>270</v>
      </c>
      <c r="H248" s="23" t="s">
        <v>72</v>
      </c>
      <c r="I248" s="23" t="s">
        <v>14</v>
      </c>
    </row>
    <row r="250" spans="1:9" ht="20.100000000000001" customHeight="1" x14ac:dyDescent="0.35">
      <c r="A250" s="268" t="s">
        <v>1199</v>
      </c>
      <c r="B250" s="268"/>
      <c r="C250" s="268"/>
      <c r="D250" s="268"/>
      <c r="E250" s="268"/>
      <c r="F250" s="268"/>
      <c r="G250" s="268"/>
      <c r="H250" s="268"/>
      <c r="I250" s="268"/>
    </row>
    <row r="251" spans="1:9" x14ac:dyDescent="0.35">
      <c r="E251" s="31"/>
      <c r="F251" s="311"/>
      <c r="G251" s="311"/>
      <c r="I251" s="312"/>
    </row>
    <row r="252" spans="1:9" ht="13.2" customHeight="1" x14ac:dyDescent="0.35">
      <c r="A252" s="254" t="s">
        <v>857</v>
      </c>
      <c r="B252" s="271" t="s">
        <v>2</v>
      </c>
      <c r="C252" s="271" t="s">
        <v>4</v>
      </c>
      <c r="D252" s="271" t="s">
        <v>5</v>
      </c>
      <c r="E252" s="271" t="s">
        <v>6</v>
      </c>
      <c r="F252" s="316" t="s">
        <v>8</v>
      </c>
      <c r="G252" s="316" t="s">
        <v>9</v>
      </c>
      <c r="H252" s="271" t="s">
        <v>10</v>
      </c>
      <c r="I252" s="271" t="s">
        <v>11</v>
      </c>
    </row>
    <row r="253" spans="1:9" ht="39.450000000000003" customHeight="1" x14ac:dyDescent="0.35">
      <c r="A253" s="254"/>
      <c r="B253" s="304"/>
      <c r="C253" s="304"/>
      <c r="D253" s="304"/>
      <c r="E253" s="304"/>
      <c r="F253" s="318"/>
      <c r="G253" s="318"/>
      <c r="H253" s="304"/>
      <c r="I253" s="304"/>
    </row>
    <row r="254" spans="1:9" ht="50.7" customHeight="1" x14ac:dyDescent="0.35">
      <c r="A254" s="30" t="s">
        <v>1200</v>
      </c>
      <c r="B254" s="30" t="s">
        <v>13</v>
      </c>
      <c r="C254" s="273" t="s">
        <v>1201</v>
      </c>
      <c r="D254" s="319">
        <v>100000</v>
      </c>
      <c r="E254" s="30" t="s">
        <v>14</v>
      </c>
      <c r="F254" s="320" t="s">
        <v>1202</v>
      </c>
      <c r="G254" s="156" t="s">
        <v>18</v>
      </c>
      <c r="H254" s="30" t="s">
        <v>14</v>
      </c>
      <c r="I254" s="30" t="s">
        <v>14</v>
      </c>
    </row>
    <row r="255" spans="1:9" ht="50.7" customHeight="1" x14ac:dyDescent="0.35">
      <c r="A255" s="30" t="s">
        <v>1200</v>
      </c>
      <c r="B255" s="30" t="s">
        <v>859</v>
      </c>
      <c r="C255" s="273" t="s">
        <v>1203</v>
      </c>
      <c r="D255" s="319">
        <v>850000</v>
      </c>
      <c r="E255" s="30" t="s">
        <v>14</v>
      </c>
      <c r="F255" s="320" t="s">
        <v>1204</v>
      </c>
      <c r="G255" s="156" t="s">
        <v>18</v>
      </c>
      <c r="H255" s="30" t="s">
        <v>14</v>
      </c>
      <c r="I255" s="30" t="s">
        <v>14</v>
      </c>
    </row>
    <row r="256" spans="1:9" ht="46.8" x14ac:dyDescent="0.35">
      <c r="A256" s="30" t="s">
        <v>1200</v>
      </c>
      <c r="B256" s="30" t="s">
        <v>859</v>
      </c>
      <c r="C256" s="273" t="s">
        <v>1205</v>
      </c>
      <c r="D256" s="319">
        <v>55000</v>
      </c>
      <c r="E256" s="30" t="s">
        <v>14</v>
      </c>
      <c r="F256" s="320" t="s">
        <v>1206</v>
      </c>
      <c r="G256" s="30" t="s">
        <v>57</v>
      </c>
      <c r="H256" s="30" t="s">
        <v>14</v>
      </c>
      <c r="I256" s="30" t="s">
        <v>14</v>
      </c>
    </row>
    <row r="257" spans="1:9" ht="78" x14ac:dyDescent="0.35">
      <c r="A257" s="30" t="s">
        <v>1200</v>
      </c>
      <c r="B257" s="30" t="s">
        <v>859</v>
      </c>
      <c r="C257" s="273" t="s">
        <v>1207</v>
      </c>
      <c r="D257" s="319">
        <v>40000</v>
      </c>
      <c r="E257" s="30" t="s">
        <v>14</v>
      </c>
      <c r="F257" s="320">
        <v>55000000</v>
      </c>
      <c r="G257" s="30" t="s">
        <v>18</v>
      </c>
      <c r="H257" s="30" t="s">
        <v>258</v>
      </c>
      <c r="I257" s="30" t="s">
        <v>14</v>
      </c>
    </row>
    <row r="258" spans="1:9" ht="93.6" x14ac:dyDescent="0.35">
      <c r="A258" s="30" t="s">
        <v>1200</v>
      </c>
      <c r="B258" s="30" t="s">
        <v>859</v>
      </c>
      <c r="C258" s="273" t="s">
        <v>1208</v>
      </c>
      <c r="D258" s="319">
        <v>77632.97</v>
      </c>
      <c r="E258" s="30" t="s">
        <v>14</v>
      </c>
      <c r="F258" s="320">
        <v>79710000</v>
      </c>
      <c r="G258" s="30" t="s">
        <v>18</v>
      </c>
      <c r="H258" s="30" t="s">
        <v>14</v>
      </c>
      <c r="I258" s="30" t="s">
        <v>14</v>
      </c>
    </row>
    <row r="259" spans="1:9" ht="62.4" x14ac:dyDescent="0.35">
      <c r="A259" s="30" t="s">
        <v>1200</v>
      </c>
      <c r="B259" s="30" t="s">
        <v>859</v>
      </c>
      <c r="C259" s="273" t="s">
        <v>1209</v>
      </c>
      <c r="D259" s="319">
        <v>200000</v>
      </c>
      <c r="E259" s="30" t="s">
        <v>14</v>
      </c>
      <c r="F259" s="320" t="s">
        <v>1210</v>
      </c>
      <c r="G259" s="30" t="s">
        <v>18</v>
      </c>
      <c r="H259" s="30" t="s">
        <v>14</v>
      </c>
      <c r="I259" s="30" t="s">
        <v>14</v>
      </c>
    </row>
    <row r="260" spans="1:9" ht="62.4" x14ac:dyDescent="0.35">
      <c r="A260" s="30" t="s">
        <v>1200</v>
      </c>
      <c r="B260" s="30" t="s">
        <v>135</v>
      </c>
      <c r="C260" s="273" t="s">
        <v>1211</v>
      </c>
      <c r="D260" s="319">
        <v>105000</v>
      </c>
      <c r="E260" s="30" t="s">
        <v>14</v>
      </c>
      <c r="F260" s="320" t="s">
        <v>1212</v>
      </c>
      <c r="G260" s="30" t="s">
        <v>49</v>
      </c>
      <c r="H260" s="30" t="s">
        <v>14</v>
      </c>
      <c r="I260" s="30" t="s">
        <v>14</v>
      </c>
    </row>
    <row r="261" spans="1:9" ht="93.6" x14ac:dyDescent="0.35">
      <c r="A261" s="30" t="s">
        <v>1200</v>
      </c>
      <c r="B261" s="30" t="s">
        <v>859</v>
      </c>
      <c r="C261" s="273" t="s">
        <v>1213</v>
      </c>
      <c r="D261" s="319">
        <v>45600</v>
      </c>
      <c r="E261" s="30" t="s">
        <v>14</v>
      </c>
      <c r="F261" s="320" t="s">
        <v>1214</v>
      </c>
      <c r="G261" s="30" t="s">
        <v>57</v>
      </c>
      <c r="H261" s="30" t="s">
        <v>14</v>
      </c>
      <c r="I261" s="30" t="s">
        <v>14</v>
      </c>
    </row>
    <row r="262" spans="1:9" ht="78" x14ac:dyDescent="0.35">
      <c r="A262" s="30" t="s">
        <v>1200</v>
      </c>
      <c r="B262" s="30" t="s">
        <v>859</v>
      </c>
      <c r="C262" s="273" t="s">
        <v>1215</v>
      </c>
      <c r="D262" s="319">
        <v>79000</v>
      </c>
      <c r="E262" s="30" t="s">
        <v>14</v>
      </c>
      <c r="F262" s="320">
        <v>79620000</v>
      </c>
      <c r="G262" s="30" t="s">
        <v>18</v>
      </c>
      <c r="H262" s="30" t="s">
        <v>14</v>
      </c>
      <c r="I262" s="30" t="s">
        <v>14</v>
      </c>
    </row>
    <row r="263" spans="1:9" ht="78" x14ac:dyDescent="0.35">
      <c r="A263" s="30" t="s">
        <v>1200</v>
      </c>
      <c r="B263" s="30" t="s">
        <v>13</v>
      </c>
      <c r="C263" s="273" t="s">
        <v>1216</v>
      </c>
      <c r="D263" s="319">
        <v>30000</v>
      </c>
      <c r="E263" s="30" t="s">
        <v>72</v>
      </c>
      <c r="F263" s="320" t="s">
        <v>1217</v>
      </c>
      <c r="G263" s="30" t="s">
        <v>18</v>
      </c>
      <c r="H263" s="30" t="s">
        <v>14</v>
      </c>
      <c r="I263" s="30" t="s">
        <v>14</v>
      </c>
    </row>
    <row r="264" spans="1:9" ht="46.8" x14ac:dyDescent="0.35">
      <c r="A264" s="30" t="s">
        <v>1200</v>
      </c>
      <c r="B264" s="30" t="s">
        <v>859</v>
      </c>
      <c r="C264" s="273" t="s">
        <v>1218</v>
      </c>
      <c r="D264" s="319">
        <v>220635.15</v>
      </c>
      <c r="E264" s="30" t="s">
        <v>14</v>
      </c>
      <c r="F264" s="320">
        <v>90910000</v>
      </c>
      <c r="G264" s="30" t="s">
        <v>18</v>
      </c>
      <c r="H264" s="30" t="s">
        <v>14</v>
      </c>
      <c r="I264" s="30" t="s">
        <v>14</v>
      </c>
    </row>
    <row r="265" spans="1:9" ht="93.6" x14ac:dyDescent="0.35">
      <c r="A265" s="30" t="s">
        <v>1200</v>
      </c>
      <c r="B265" s="30" t="s">
        <v>859</v>
      </c>
      <c r="C265" s="273" t="s">
        <v>1219</v>
      </c>
      <c r="D265" s="319">
        <v>232882.8</v>
      </c>
      <c r="E265" s="30" t="s">
        <v>14</v>
      </c>
      <c r="F265" s="320">
        <v>63100000</v>
      </c>
      <c r="G265" s="30" t="s">
        <v>18</v>
      </c>
      <c r="H265" s="30" t="s">
        <v>14</v>
      </c>
      <c r="I265" s="30" t="s">
        <v>14</v>
      </c>
    </row>
    <row r="266" spans="1:9" ht="124.8" x14ac:dyDescent="0.35">
      <c r="A266" s="30" t="s">
        <v>1200</v>
      </c>
      <c r="B266" s="30" t="s">
        <v>135</v>
      </c>
      <c r="C266" s="273" t="s">
        <v>1220</v>
      </c>
      <c r="D266" s="319">
        <v>40725</v>
      </c>
      <c r="E266" s="30" t="s">
        <v>14</v>
      </c>
      <c r="F266" s="320" t="s">
        <v>1221</v>
      </c>
      <c r="G266" s="30" t="s">
        <v>18</v>
      </c>
      <c r="H266" s="30" t="s">
        <v>14</v>
      </c>
      <c r="I266" s="30" t="s">
        <v>14</v>
      </c>
    </row>
    <row r="267" spans="1:9" ht="46.8" x14ac:dyDescent="0.35">
      <c r="A267" s="30" t="s">
        <v>1200</v>
      </c>
      <c r="B267" s="30" t="s">
        <v>13</v>
      </c>
      <c r="C267" s="273" t="s">
        <v>1222</v>
      </c>
      <c r="D267" s="319">
        <v>85500</v>
      </c>
      <c r="E267" s="30" t="s">
        <v>14</v>
      </c>
      <c r="F267" s="320" t="s">
        <v>1217</v>
      </c>
      <c r="G267" s="30" t="s">
        <v>18</v>
      </c>
      <c r="H267" s="30" t="s">
        <v>14</v>
      </c>
      <c r="I267" s="30" t="s">
        <v>14</v>
      </c>
    </row>
    <row r="268" spans="1:9" ht="46.8" x14ac:dyDescent="0.35">
      <c r="A268" s="30" t="s">
        <v>1200</v>
      </c>
      <c r="B268" s="30" t="s">
        <v>135</v>
      </c>
      <c r="C268" s="273" t="s">
        <v>1223</v>
      </c>
      <c r="D268" s="319">
        <v>24000</v>
      </c>
      <c r="E268" s="30" t="s">
        <v>14</v>
      </c>
      <c r="F268" s="320" t="s">
        <v>1224</v>
      </c>
      <c r="G268" s="30" t="s">
        <v>49</v>
      </c>
      <c r="H268" s="30" t="s">
        <v>14</v>
      </c>
      <c r="I268" s="30" t="s">
        <v>14</v>
      </c>
    </row>
    <row r="269" spans="1:9" ht="62.4" x14ac:dyDescent="0.35">
      <c r="A269" s="30" t="s">
        <v>1200</v>
      </c>
      <c r="B269" s="30" t="s">
        <v>135</v>
      </c>
      <c r="C269" s="273" t="s">
        <v>1225</v>
      </c>
      <c r="D269" s="319">
        <v>70000</v>
      </c>
      <c r="E269" s="30" t="s">
        <v>14</v>
      </c>
      <c r="F269" s="320" t="s">
        <v>1226</v>
      </c>
      <c r="G269" s="30" t="s">
        <v>49</v>
      </c>
      <c r="H269" s="30" t="s">
        <v>14</v>
      </c>
      <c r="I269" s="30" t="s">
        <v>14</v>
      </c>
    </row>
    <row r="270" spans="1:9" ht="78" x14ac:dyDescent="0.35">
      <c r="A270" s="30" t="s">
        <v>1200</v>
      </c>
      <c r="B270" s="30" t="s">
        <v>135</v>
      </c>
      <c r="C270" s="273" t="s">
        <v>1227</v>
      </c>
      <c r="D270" s="319">
        <v>209000</v>
      </c>
      <c r="E270" s="30" t="s">
        <v>72</v>
      </c>
      <c r="F270" s="320" t="s">
        <v>1228</v>
      </c>
      <c r="G270" s="30" t="s">
        <v>18</v>
      </c>
      <c r="H270" s="30" t="s">
        <v>14</v>
      </c>
      <c r="I270" s="30" t="s">
        <v>14</v>
      </c>
    </row>
    <row r="271" spans="1:9" ht="62.4" x14ac:dyDescent="0.35">
      <c r="A271" s="30" t="s">
        <v>1200</v>
      </c>
      <c r="B271" s="30" t="s">
        <v>135</v>
      </c>
      <c r="C271" s="273" t="s">
        <v>1229</v>
      </c>
      <c r="D271" s="319">
        <v>129000</v>
      </c>
      <c r="E271" s="30" t="s">
        <v>72</v>
      </c>
      <c r="F271" s="320" t="s">
        <v>1230</v>
      </c>
      <c r="G271" s="30" t="s">
        <v>49</v>
      </c>
      <c r="H271" s="30" t="s">
        <v>14</v>
      </c>
      <c r="I271" s="30" t="s">
        <v>14</v>
      </c>
    </row>
    <row r="272" spans="1:9" ht="62.4" x14ac:dyDescent="0.35">
      <c r="A272" s="30" t="s">
        <v>1200</v>
      </c>
      <c r="B272" s="30" t="s">
        <v>859</v>
      </c>
      <c r="C272" s="273" t="s">
        <v>1231</v>
      </c>
      <c r="D272" s="319">
        <v>68800</v>
      </c>
      <c r="E272" s="30" t="s">
        <v>14</v>
      </c>
      <c r="F272" s="320" t="s">
        <v>1232</v>
      </c>
      <c r="G272" s="30" t="s">
        <v>18</v>
      </c>
      <c r="H272" s="30" t="s">
        <v>14</v>
      </c>
      <c r="I272" s="30" t="s">
        <v>14</v>
      </c>
    </row>
    <row r="273" spans="1:9" ht="46.8" x14ac:dyDescent="0.35">
      <c r="A273" s="30" t="s">
        <v>1200</v>
      </c>
      <c r="B273" s="30" t="s">
        <v>859</v>
      </c>
      <c r="C273" s="273" t="s">
        <v>1233</v>
      </c>
      <c r="D273" s="319">
        <v>180000</v>
      </c>
      <c r="E273" s="30" t="s">
        <v>14</v>
      </c>
      <c r="F273" s="320" t="s">
        <v>1234</v>
      </c>
      <c r="G273" s="30" t="s">
        <v>18</v>
      </c>
      <c r="H273" s="30" t="s">
        <v>72</v>
      </c>
      <c r="I273" s="30" t="s">
        <v>14</v>
      </c>
    </row>
    <row r="274" spans="1:9" ht="93.6" x14ac:dyDescent="0.35">
      <c r="A274" s="30" t="s">
        <v>1200</v>
      </c>
      <c r="B274" s="30" t="s">
        <v>859</v>
      </c>
      <c r="C274" s="273" t="s">
        <v>1235</v>
      </c>
      <c r="D274" s="319">
        <v>45000</v>
      </c>
      <c r="E274" s="30" t="s">
        <v>14</v>
      </c>
      <c r="F274" s="320" t="s">
        <v>1236</v>
      </c>
      <c r="G274" s="30" t="s">
        <v>18</v>
      </c>
      <c r="H274" s="30" t="s">
        <v>14</v>
      </c>
      <c r="I274" s="30" t="s">
        <v>14</v>
      </c>
    </row>
    <row r="276" spans="1:9" ht="20.7" customHeight="1" x14ac:dyDescent="0.35">
      <c r="A276" s="268" t="s">
        <v>1237</v>
      </c>
      <c r="B276" s="268"/>
      <c r="C276" s="268"/>
      <c r="D276" s="268"/>
      <c r="E276" s="268"/>
      <c r="F276" s="268"/>
      <c r="G276" s="268"/>
      <c r="H276" s="268"/>
      <c r="I276" s="268"/>
    </row>
    <row r="277" spans="1:9" x14ac:dyDescent="0.35">
      <c r="E277" s="31"/>
      <c r="F277" s="311"/>
      <c r="G277" s="311"/>
      <c r="I277" s="312"/>
    </row>
    <row r="278" spans="1:9" ht="21" customHeight="1" x14ac:dyDescent="0.35">
      <c r="A278" s="254" t="s">
        <v>857</v>
      </c>
      <c r="B278" s="321" t="s">
        <v>2</v>
      </c>
      <c r="C278" s="321" t="s">
        <v>4</v>
      </c>
      <c r="D278" s="321" t="s">
        <v>5</v>
      </c>
      <c r="E278" s="321" t="s">
        <v>6</v>
      </c>
      <c r="F278" s="322" t="s">
        <v>8</v>
      </c>
      <c r="G278" s="322" t="s">
        <v>9</v>
      </c>
      <c r="H278" s="321" t="s">
        <v>10</v>
      </c>
      <c r="I278" s="271" t="s">
        <v>11</v>
      </c>
    </row>
    <row r="279" spans="1:9" ht="33" customHeight="1" x14ac:dyDescent="0.35">
      <c r="A279" s="254"/>
      <c r="B279" s="323"/>
      <c r="C279" s="323"/>
      <c r="D279" s="323"/>
      <c r="E279" s="323"/>
      <c r="F279" s="324"/>
      <c r="G279" s="324"/>
      <c r="H279" s="323"/>
      <c r="I279" s="304"/>
    </row>
    <row r="280" spans="1:9" ht="46.8" x14ac:dyDescent="0.35">
      <c r="A280" s="149" t="s">
        <v>1238</v>
      </c>
      <c r="B280" s="149" t="s">
        <v>13</v>
      </c>
      <c r="C280" s="258" t="s">
        <v>1239</v>
      </c>
      <c r="D280" s="325">
        <v>9850000</v>
      </c>
      <c r="E280" s="149" t="s">
        <v>72</v>
      </c>
      <c r="F280" s="149" t="s">
        <v>1240</v>
      </c>
      <c r="G280" s="326" t="s">
        <v>18</v>
      </c>
      <c r="H280" s="149" t="s">
        <v>72</v>
      </c>
      <c r="I280" s="327" t="s">
        <v>14</v>
      </c>
    </row>
    <row r="281" spans="1:9" ht="46.8" x14ac:dyDescent="0.35">
      <c r="A281" s="149" t="s">
        <v>1238</v>
      </c>
      <c r="B281" s="149" t="s">
        <v>13</v>
      </c>
      <c r="C281" s="258" t="s">
        <v>1241</v>
      </c>
      <c r="D281" s="325">
        <f>1.2*75000</f>
        <v>90000</v>
      </c>
      <c r="E281" s="149" t="s">
        <v>14</v>
      </c>
      <c r="F281" s="149" t="s">
        <v>1242</v>
      </c>
      <c r="G281" s="326" t="s">
        <v>18</v>
      </c>
      <c r="H281" s="149" t="s">
        <v>14</v>
      </c>
      <c r="I281" s="327" t="s">
        <v>14</v>
      </c>
    </row>
    <row r="282" spans="1:9" ht="46.8" x14ac:dyDescent="0.35">
      <c r="A282" s="149" t="s">
        <v>1238</v>
      </c>
      <c r="B282" s="149" t="s">
        <v>13</v>
      </c>
      <c r="C282" s="258" t="s">
        <v>1243</v>
      </c>
      <c r="D282" s="325">
        <f>1.2*331504</f>
        <v>397804.79999999999</v>
      </c>
      <c r="E282" s="149" t="s">
        <v>14</v>
      </c>
      <c r="F282" s="149" t="s">
        <v>1242</v>
      </c>
      <c r="G282" s="326" t="s">
        <v>18</v>
      </c>
      <c r="H282" s="149" t="s">
        <v>14</v>
      </c>
      <c r="I282" s="327" t="s">
        <v>14</v>
      </c>
    </row>
    <row r="283" spans="1:9" ht="46.8" x14ac:dyDescent="0.35">
      <c r="A283" s="149" t="s">
        <v>1238</v>
      </c>
      <c r="B283" s="149" t="s">
        <v>13</v>
      </c>
      <c r="C283" s="258" t="s">
        <v>1244</v>
      </c>
      <c r="D283" s="325">
        <f>(340000+120000)*1.2</f>
        <v>552000</v>
      </c>
      <c r="E283" s="149" t="s">
        <v>14</v>
      </c>
      <c r="F283" s="149" t="s">
        <v>1242</v>
      </c>
      <c r="G283" s="326" t="s">
        <v>18</v>
      </c>
      <c r="H283" s="149" t="s">
        <v>14</v>
      </c>
      <c r="I283" s="327" t="s">
        <v>14</v>
      </c>
    </row>
    <row r="284" spans="1:9" ht="46.8" x14ac:dyDescent="0.35">
      <c r="A284" s="149" t="s">
        <v>1238</v>
      </c>
      <c r="B284" s="149" t="s">
        <v>13</v>
      </c>
      <c r="C284" s="258" t="s">
        <v>1245</v>
      </c>
      <c r="D284" s="325">
        <f>1.2*40000</f>
        <v>48000</v>
      </c>
      <c r="E284" s="149" t="s">
        <v>14</v>
      </c>
      <c r="F284" s="149" t="s">
        <v>1246</v>
      </c>
      <c r="G284" s="326" t="s">
        <v>18</v>
      </c>
      <c r="H284" s="149" t="s">
        <v>14</v>
      </c>
      <c r="I284" s="327" t="s">
        <v>14</v>
      </c>
    </row>
    <row r="285" spans="1:9" ht="46.8" x14ac:dyDescent="0.35">
      <c r="A285" s="149" t="s">
        <v>1238</v>
      </c>
      <c r="B285" s="149" t="s">
        <v>13</v>
      </c>
      <c r="C285" s="258" t="s">
        <v>1247</v>
      </c>
      <c r="D285" s="325">
        <f>1.2*90000</f>
        <v>108000</v>
      </c>
      <c r="E285" s="149" t="s">
        <v>14</v>
      </c>
      <c r="F285" s="149" t="s">
        <v>1248</v>
      </c>
      <c r="G285" s="326" t="s">
        <v>18</v>
      </c>
      <c r="H285" s="149" t="s">
        <v>14</v>
      </c>
      <c r="I285" s="327" t="s">
        <v>14</v>
      </c>
    </row>
    <row r="286" spans="1:9" ht="46.8" x14ac:dyDescent="0.35">
      <c r="A286" s="149" t="s">
        <v>1238</v>
      </c>
      <c r="B286" s="149" t="s">
        <v>13</v>
      </c>
      <c r="C286" s="258" t="s">
        <v>1249</v>
      </c>
      <c r="D286" s="325">
        <f>1.2*130000</f>
        <v>156000</v>
      </c>
      <c r="E286" s="149" t="s">
        <v>14</v>
      </c>
      <c r="F286" s="149" t="s">
        <v>1250</v>
      </c>
      <c r="G286" s="326" t="s">
        <v>18</v>
      </c>
      <c r="H286" s="149" t="s">
        <v>14</v>
      </c>
      <c r="I286" s="327" t="s">
        <v>14</v>
      </c>
    </row>
    <row r="287" spans="1:9" ht="46.8" x14ac:dyDescent="0.35">
      <c r="A287" s="149" t="s">
        <v>1238</v>
      </c>
      <c r="B287" s="149" t="s">
        <v>859</v>
      </c>
      <c r="C287" s="258" t="s">
        <v>1251</v>
      </c>
      <c r="D287" s="325">
        <f>1.2*150000</f>
        <v>180000</v>
      </c>
      <c r="E287" s="149" t="s">
        <v>14</v>
      </c>
      <c r="F287" s="149" t="s">
        <v>1252</v>
      </c>
      <c r="G287" s="326" t="s">
        <v>18</v>
      </c>
      <c r="H287" s="149" t="s">
        <v>14</v>
      </c>
      <c r="I287" s="327" t="s">
        <v>14</v>
      </c>
    </row>
    <row r="288" spans="1:9" ht="46.8" x14ac:dyDescent="0.35">
      <c r="A288" s="149" t="s">
        <v>1238</v>
      </c>
      <c r="B288" s="149" t="s">
        <v>13</v>
      </c>
      <c r="C288" s="258" t="s">
        <v>1253</v>
      </c>
      <c r="D288" s="325">
        <f>1.2*300000</f>
        <v>360000</v>
      </c>
      <c r="E288" s="149" t="s">
        <v>14</v>
      </c>
      <c r="F288" s="149" t="s">
        <v>1254</v>
      </c>
      <c r="G288" s="326" t="s">
        <v>18</v>
      </c>
      <c r="H288" s="149" t="s">
        <v>14</v>
      </c>
      <c r="I288" s="327" t="s">
        <v>14</v>
      </c>
    </row>
    <row r="289" spans="1:9" ht="46.8" x14ac:dyDescent="0.35">
      <c r="A289" s="149" t="s">
        <v>1238</v>
      </c>
      <c r="B289" s="149" t="s">
        <v>13</v>
      </c>
      <c r="C289" s="258" t="s">
        <v>1255</v>
      </c>
      <c r="D289" s="325">
        <f>1.2*45000</f>
        <v>54000</v>
      </c>
      <c r="E289" s="149" t="s">
        <v>14</v>
      </c>
      <c r="F289" s="149" t="s">
        <v>1256</v>
      </c>
      <c r="G289" s="326" t="s">
        <v>18</v>
      </c>
      <c r="H289" s="149" t="s">
        <v>14</v>
      </c>
      <c r="I289" s="327" t="s">
        <v>14</v>
      </c>
    </row>
    <row r="290" spans="1:9" ht="46.8" x14ac:dyDescent="0.35">
      <c r="A290" s="149" t="s">
        <v>1238</v>
      </c>
      <c r="B290" s="149" t="s">
        <v>13</v>
      </c>
      <c r="C290" s="258" t="s">
        <v>1257</v>
      </c>
      <c r="D290" s="325">
        <f>82680+67900</f>
        <v>150580</v>
      </c>
      <c r="E290" s="149" t="s">
        <v>72</v>
      </c>
      <c r="F290" s="149" t="s">
        <v>1258</v>
      </c>
      <c r="G290" s="326" t="s">
        <v>18</v>
      </c>
      <c r="H290" s="149" t="s">
        <v>14</v>
      </c>
      <c r="I290" s="327" t="s">
        <v>14</v>
      </c>
    </row>
    <row r="291" spans="1:9" ht="46.8" x14ac:dyDescent="0.35">
      <c r="A291" s="149" t="s">
        <v>1238</v>
      </c>
      <c r="B291" s="149" t="s">
        <v>859</v>
      </c>
      <c r="C291" s="258" t="s">
        <v>1259</v>
      </c>
      <c r="D291" s="325">
        <f>33200*2*1.2</f>
        <v>79680</v>
      </c>
      <c r="E291" s="149" t="s">
        <v>14</v>
      </c>
      <c r="F291" s="149" t="s">
        <v>1260</v>
      </c>
      <c r="G291" s="149" t="s">
        <v>24</v>
      </c>
      <c r="H291" s="149" t="s">
        <v>72</v>
      </c>
      <c r="I291" s="327" t="s">
        <v>14</v>
      </c>
    </row>
    <row r="292" spans="1:9" ht="46.8" x14ac:dyDescent="0.35">
      <c r="A292" s="149" t="s">
        <v>1238</v>
      </c>
      <c r="B292" s="149" t="s">
        <v>859</v>
      </c>
      <c r="C292" s="258" t="s">
        <v>1261</v>
      </c>
      <c r="D292" s="325">
        <f>1.2*17000</f>
        <v>20400</v>
      </c>
      <c r="E292" s="149" t="s">
        <v>14</v>
      </c>
      <c r="F292" s="149" t="s">
        <v>1252</v>
      </c>
      <c r="G292" s="326" t="s">
        <v>18</v>
      </c>
      <c r="H292" s="149" t="s">
        <v>14</v>
      </c>
      <c r="I292" s="327" t="s">
        <v>14</v>
      </c>
    </row>
    <row r="293" spans="1:9" ht="46.8" x14ac:dyDescent="0.35">
      <c r="A293" s="149" t="s">
        <v>1238</v>
      </c>
      <c r="B293" s="149" t="s">
        <v>859</v>
      </c>
      <c r="C293" s="258" t="s">
        <v>1262</v>
      </c>
      <c r="D293" s="325">
        <v>376512</v>
      </c>
      <c r="E293" s="149" t="s">
        <v>14</v>
      </c>
      <c r="F293" s="149" t="s">
        <v>1252</v>
      </c>
      <c r="G293" s="326" t="s">
        <v>18</v>
      </c>
      <c r="H293" s="149" t="s">
        <v>14</v>
      </c>
      <c r="I293" s="327" t="s">
        <v>14</v>
      </c>
    </row>
    <row r="294" spans="1:9" ht="46.8" x14ac:dyDescent="0.35">
      <c r="A294" s="149" t="s">
        <v>1238</v>
      </c>
      <c r="B294" s="149" t="s">
        <v>859</v>
      </c>
      <c r="C294" s="258" t="s">
        <v>1263</v>
      </c>
      <c r="D294" s="325">
        <f>450000*1.2</f>
        <v>540000</v>
      </c>
      <c r="E294" s="149" t="s">
        <v>14</v>
      </c>
      <c r="F294" s="149">
        <v>42996000</v>
      </c>
      <c r="G294" s="326" t="s">
        <v>18</v>
      </c>
      <c r="H294" s="149" t="s">
        <v>14</v>
      </c>
      <c r="I294" s="327" t="s">
        <v>14</v>
      </c>
    </row>
    <row r="295" spans="1:9" ht="46.8" x14ac:dyDescent="0.35">
      <c r="A295" s="149" t="s">
        <v>1238</v>
      </c>
      <c r="B295" s="149" t="s">
        <v>859</v>
      </c>
      <c r="C295" s="258" t="s">
        <v>1264</v>
      </c>
      <c r="D295" s="325">
        <f>40000*1.2</f>
        <v>48000</v>
      </c>
      <c r="E295" s="149" t="s">
        <v>14</v>
      </c>
      <c r="F295" s="149" t="s">
        <v>1265</v>
      </c>
      <c r="G295" s="326" t="s">
        <v>18</v>
      </c>
      <c r="H295" s="149" t="s">
        <v>14</v>
      </c>
      <c r="I295" s="327" t="s">
        <v>14</v>
      </c>
    </row>
    <row r="296" spans="1:9" ht="46.8" x14ac:dyDescent="0.35">
      <c r="A296" s="149" t="s">
        <v>1238</v>
      </c>
      <c r="B296" s="149" t="s">
        <v>50</v>
      </c>
      <c r="C296" s="258" t="s">
        <v>1266</v>
      </c>
      <c r="D296" s="325">
        <v>5000000</v>
      </c>
      <c r="E296" s="149" t="s">
        <v>14</v>
      </c>
      <c r="F296" s="149" t="s">
        <v>1267</v>
      </c>
      <c r="G296" s="149" t="s">
        <v>24</v>
      </c>
      <c r="H296" s="149" t="s">
        <v>72</v>
      </c>
      <c r="I296" s="327" t="s">
        <v>14</v>
      </c>
    </row>
    <row r="297" spans="1:9" ht="46.8" x14ac:dyDescent="0.35">
      <c r="A297" s="149" t="s">
        <v>1238</v>
      </c>
      <c r="B297" s="149" t="s">
        <v>50</v>
      </c>
      <c r="C297" s="258" t="s">
        <v>1268</v>
      </c>
      <c r="D297" s="325">
        <v>9509052</v>
      </c>
      <c r="E297" s="149" t="s">
        <v>14</v>
      </c>
      <c r="F297" s="149" t="s">
        <v>1269</v>
      </c>
      <c r="G297" s="328" t="s">
        <v>480</v>
      </c>
      <c r="H297" s="149" t="s">
        <v>14</v>
      </c>
      <c r="I297" s="327" t="s">
        <v>14</v>
      </c>
    </row>
    <row r="298" spans="1:9" ht="46.8" x14ac:dyDescent="0.35">
      <c r="A298" s="149" t="s">
        <v>1238</v>
      </c>
      <c r="B298" s="149" t="s">
        <v>50</v>
      </c>
      <c r="C298" s="258" t="s">
        <v>1270</v>
      </c>
      <c r="D298" s="325">
        <v>1200000</v>
      </c>
      <c r="E298" s="149" t="s">
        <v>14</v>
      </c>
      <c r="F298" s="149" t="s">
        <v>1269</v>
      </c>
      <c r="G298" s="328" t="s">
        <v>77</v>
      </c>
      <c r="H298" s="149" t="s">
        <v>14</v>
      </c>
      <c r="I298" s="327" t="s">
        <v>14</v>
      </c>
    </row>
    <row r="299" spans="1:9" ht="46.8" x14ac:dyDescent="0.35">
      <c r="A299" s="149" t="s">
        <v>1238</v>
      </c>
      <c r="B299" s="149" t="s">
        <v>50</v>
      </c>
      <c r="C299" s="258" t="s">
        <v>1271</v>
      </c>
      <c r="D299" s="325">
        <v>720000</v>
      </c>
      <c r="E299" s="149" t="s">
        <v>14</v>
      </c>
      <c r="F299" s="149" t="s">
        <v>1272</v>
      </c>
      <c r="G299" s="328" t="s">
        <v>309</v>
      </c>
      <c r="H299" s="149" t="s">
        <v>14</v>
      </c>
      <c r="I299" s="327" t="s">
        <v>14</v>
      </c>
    </row>
    <row r="300" spans="1:9" ht="46.8" x14ac:dyDescent="0.35">
      <c r="A300" s="149" t="s">
        <v>1238</v>
      </c>
      <c r="B300" s="149" t="s">
        <v>50</v>
      </c>
      <c r="C300" s="258" t="s">
        <v>1273</v>
      </c>
      <c r="D300" s="325">
        <v>480000</v>
      </c>
      <c r="E300" s="149" t="s">
        <v>14</v>
      </c>
      <c r="F300" s="149" t="s">
        <v>1272</v>
      </c>
      <c r="G300" s="328" t="s">
        <v>91</v>
      </c>
      <c r="H300" s="149" t="s">
        <v>14</v>
      </c>
      <c r="I300" s="327" t="s">
        <v>14</v>
      </c>
    </row>
    <row r="301" spans="1:9" ht="46.8" x14ac:dyDescent="0.35">
      <c r="A301" s="149" t="s">
        <v>1238</v>
      </c>
      <c r="B301" s="149" t="s">
        <v>50</v>
      </c>
      <c r="C301" s="258" t="s">
        <v>1274</v>
      </c>
      <c r="D301" s="325">
        <v>960000</v>
      </c>
      <c r="E301" s="149" t="s">
        <v>72</v>
      </c>
      <c r="F301" s="149" t="s">
        <v>1058</v>
      </c>
      <c r="G301" s="328" t="s">
        <v>200</v>
      </c>
      <c r="H301" s="149" t="s">
        <v>14</v>
      </c>
      <c r="I301" s="327" t="s">
        <v>14</v>
      </c>
    </row>
    <row r="302" spans="1:9" ht="46.8" x14ac:dyDescent="0.35">
      <c r="A302" s="149" t="s">
        <v>1238</v>
      </c>
      <c r="B302" s="149" t="s">
        <v>50</v>
      </c>
      <c r="C302" s="258" t="s">
        <v>1275</v>
      </c>
      <c r="D302" s="325">
        <v>711228</v>
      </c>
      <c r="E302" s="149" t="s">
        <v>72</v>
      </c>
      <c r="F302" s="149" t="s">
        <v>1276</v>
      </c>
      <c r="G302" s="328" t="s">
        <v>200</v>
      </c>
      <c r="H302" s="149" t="s">
        <v>14</v>
      </c>
      <c r="I302" s="327" t="s">
        <v>14</v>
      </c>
    </row>
    <row r="303" spans="1:9" ht="46.8" x14ac:dyDescent="0.35">
      <c r="A303" s="149" t="s">
        <v>1238</v>
      </c>
      <c r="B303" s="149" t="s">
        <v>50</v>
      </c>
      <c r="C303" s="258" t="s">
        <v>1277</v>
      </c>
      <c r="D303" s="325">
        <v>240000</v>
      </c>
      <c r="E303" s="149" t="s">
        <v>14</v>
      </c>
      <c r="F303" s="149" t="s">
        <v>1276</v>
      </c>
      <c r="G303" s="328" t="s">
        <v>91</v>
      </c>
      <c r="H303" s="149" t="s">
        <v>14</v>
      </c>
      <c r="I303" s="327" t="s">
        <v>14</v>
      </c>
    </row>
    <row r="304" spans="1:9" ht="46.8" x14ac:dyDescent="0.35">
      <c r="A304" s="149" t="s">
        <v>1238</v>
      </c>
      <c r="B304" s="149" t="s">
        <v>50</v>
      </c>
      <c r="C304" s="258" t="s">
        <v>1278</v>
      </c>
      <c r="D304" s="325">
        <v>389532</v>
      </c>
      <c r="E304" s="149" t="s">
        <v>14</v>
      </c>
      <c r="F304" s="149" t="s">
        <v>1279</v>
      </c>
      <c r="G304" s="328" t="s">
        <v>309</v>
      </c>
      <c r="H304" s="149" t="s">
        <v>14</v>
      </c>
      <c r="I304" s="327" t="s">
        <v>14</v>
      </c>
    </row>
    <row r="305" spans="1:9" ht="46.8" x14ac:dyDescent="0.35">
      <c r="A305" s="149" t="s">
        <v>1238</v>
      </c>
      <c r="B305" s="149" t="s">
        <v>50</v>
      </c>
      <c r="C305" s="258" t="s">
        <v>1280</v>
      </c>
      <c r="D305" s="325">
        <v>120000</v>
      </c>
      <c r="E305" s="149" t="s">
        <v>14</v>
      </c>
      <c r="F305" s="149" t="s">
        <v>1272</v>
      </c>
      <c r="G305" s="328" t="s">
        <v>200</v>
      </c>
      <c r="H305" s="149" t="s">
        <v>14</v>
      </c>
      <c r="I305" s="327" t="s">
        <v>14</v>
      </c>
    </row>
    <row r="306" spans="1:9" ht="46.8" x14ac:dyDescent="0.35">
      <c r="A306" s="149" t="s">
        <v>1238</v>
      </c>
      <c r="B306" s="149" t="s">
        <v>50</v>
      </c>
      <c r="C306" s="258" t="s">
        <v>1281</v>
      </c>
      <c r="D306" s="325">
        <v>2614704.1319999998</v>
      </c>
      <c r="E306" s="149" t="s">
        <v>14</v>
      </c>
      <c r="F306" s="149" t="s">
        <v>1269</v>
      </c>
      <c r="G306" s="328" t="s">
        <v>200</v>
      </c>
      <c r="H306" s="149" t="s">
        <v>14</v>
      </c>
      <c r="I306" s="327" t="s">
        <v>14</v>
      </c>
    </row>
    <row r="307" spans="1:9" ht="46.8" x14ac:dyDescent="0.35">
      <c r="A307" s="149" t="s">
        <v>1238</v>
      </c>
      <c r="B307" s="149" t="s">
        <v>50</v>
      </c>
      <c r="C307" s="258" t="s">
        <v>1282</v>
      </c>
      <c r="D307" s="325">
        <v>360000</v>
      </c>
      <c r="E307" s="149" t="s">
        <v>14</v>
      </c>
      <c r="F307" s="149" t="s">
        <v>1279</v>
      </c>
      <c r="G307" s="328" t="s">
        <v>200</v>
      </c>
      <c r="H307" s="149" t="s">
        <v>14</v>
      </c>
      <c r="I307" s="327" t="s">
        <v>14</v>
      </c>
    </row>
    <row r="308" spans="1:9" ht="46.8" x14ac:dyDescent="0.35">
      <c r="A308" s="149" t="s">
        <v>1238</v>
      </c>
      <c r="B308" s="149" t="s">
        <v>50</v>
      </c>
      <c r="C308" s="258" t="s">
        <v>1283</v>
      </c>
      <c r="D308" s="325">
        <v>5948400</v>
      </c>
      <c r="E308" s="149" t="s">
        <v>72</v>
      </c>
      <c r="F308" s="149" t="s">
        <v>1269</v>
      </c>
      <c r="G308" s="149" t="s">
        <v>613</v>
      </c>
      <c r="H308" s="149" t="s">
        <v>14</v>
      </c>
      <c r="I308" s="327" t="s">
        <v>14</v>
      </c>
    </row>
    <row r="309" spans="1:9" ht="46.8" x14ac:dyDescent="0.35">
      <c r="A309" s="149" t="s">
        <v>1238</v>
      </c>
      <c r="B309" s="149" t="s">
        <v>50</v>
      </c>
      <c r="C309" s="258" t="s">
        <v>1284</v>
      </c>
      <c r="D309" s="325">
        <v>1200000</v>
      </c>
      <c r="E309" s="149" t="s">
        <v>14</v>
      </c>
      <c r="F309" s="149" t="s">
        <v>1272</v>
      </c>
      <c r="G309" s="149" t="s">
        <v>202</v>
      </c>
      <c r="H309" s="149" t="s">
        <v>14</v>
      </c>
      <c r="I309" s="327" t="s">
        <v>14</v>
      </c>
    </row>
    <row r="310" spans="1:9" ht="46.8" x14ac:dyDescent="0.35">
      <c r="A310" s="149" t="s">
        <v>1238</v>
      </c>
      <c r="B310" s="149" t="s">
        <v>859</v>
      </c>
      <c r="C310" s="329" t="s">
        <v>1285</v>
      </c>
      <c r="D310" s="325">
        <v>426240</v>
      </c>
      <c r="E310" s="149" t="s">
        <v>14</v>
      </c>
      <c r="F310" s="149" t="s">
        <v>1286</v>
      </c>
      <c r="G310" s="149" t="s">
        <v>24</v>
      </c>
      <c r="H310" s="149" t="s">
        <v>103</v>
      </c>
      <c r="I310" s="327" t="s">
        <v>14</v>
      </c>
    </row>
    <row r="311" spans="1:9" ht="46.8" x14ac:dyDescent="0.35">
      <c r="A311" s="149" t="s">
        <v>1238</v>
      </c>
      <c r="B311" s="330" t="s">
        <v>859</v>
      </c>
      <c r="C311" s="331" t="s">
        <v>1287</v>
      </c>
      <c r="D311" s="332">
        <f>15000*(4.2)</f>
        <v>63000</v>
      </c>
      <c r="E311" s="149" t="s">
        <v>14</v>
      </c>
      <c r="F311" s="149">
        <v>45259000</v>
      </c>
      <c r="G311" s="149" t="s">
        <v>18</v>
      </c>
      <c r="H311" s="149" t="s">
        <v>103</v>
      </c>
      <c r="I311" s="327" t="s">
        <v>14</v>
      </c>
    </row>
    <row r="312" spans="1:9" ht="46.8" x14ac:dyDescent="0.35">
      <c r="A312" s="149" t="s">
        <v>1238</v>
      </c>
      <c r="B312" s="330" t="s">
        <v>859</v>
      </c>
      <c r="C312" s="331" t="s">
        <v>1288</v>
      </c>
      <c r="D312" s="332">
        <v>1375000</v>
      </c>
      <c r="E312" s="149" t="s">
        <v>14</v>
      </c>
      <c r="F312" s="149">
        <v>45259000</v>
      </c>
      <c r="G312" s="149" t="s">
        <v>18</v>
      </c>
      <c r="H312" s="149" t="s">
        <v>103</v>
      </c>
      <c r="I312" s="327" t="s">
        <v>14</v>
      </c>
    </row>
    <row r="313" spans="1:9" ht="46.8" x14ac:dyDescent="0.35">
      <c r="A313" s="149" t="s">
        <v>1238</v>
      </c>
      <c r="B313" s="330" t="s">
        <v>859</v>
      </c>
      <c r="C313" s="331" t="s">
        <v>1289</v>
      </c>
      <c r="D313" s="332">
        <v>12000</v>
      </c>
      <c r="E313" s="149" t="s">
        <v>14</v>
      </c>
      <c r="F313" s="149" t="s">
        <v>1265</v>
      </c>
      <c r="G313" s="149" t="s">
        <v>18</v>
      </c>
      <c r="H313" s="149" t="s">
        <v>103</v>
      </c>
      <c r="I313" s="327" t="s">
        <v>14</v>
      </c>
    </row>
    <row r="314" spans="1:9" ht="46.8" x14ac:dyDescent="0.35">
      <c r="A314" s="149" t="s">
        <v>1238</v>
      </c>
      <c r="B314" s="330" t="s">
        <v>13</v>
      </c>
      <c r="C314" s="331" t="s">
        <v>1290</v>
      </c>
      <c r="D314" s="332">
        <f>60000*(4.2)</f>
        <v>252000</v>
      </c>
      <c r="E314" s="149" t="s">
        <v>14</v>
      </c>
      <c r="F314" s="149" t="s">
        <v>1291</v>
      </c>
      <c r="G314" s="149" t="s">
        <v>18</v>
      </c>
      <c r="H314" s="149" t="s">
        <v>103</v>
      </c>
      <c r="I314" s="327" t="s">
        <v>14</v>
      </c>
    </row>
    <row r="315" spans="1:9" ht="46.8" x14ac:dyDescent="0.35">
      <c r="A315" s="149" t="s">
        <v>1238</v>
      </c>
      <c r="B315" s="330" t="s">
        <v>13</v>
      </c>
      <c r="C315" s="331" t="s">
        <v>1292</v>
      </c>
      <c r="D315" s="332">
        <v>5307120</v>
      </c>
      <c r="E315" s="149" t="s">
        <v>14</v>
      </c>
      <c r="F315" s="149">
        <v>42912340</v>
      </c>
      <c r="G315" s="149" t="s">
        <v>24</v>
      </c>
      <c r="H315" s="149" t="s">
        <v>103</v>
      </c>
      <c r="I315" s="327" t="s">
        <v>14</v>
      </c>
    </row>
    <row r="316" spans="1:9" ht="46.8" x14ac:dyDescent="0.35">
      <c r="A316" s="149" t="s">
        <v>1238</v>
      </c>
      <c r="B316" s="330" t="s">
        <v>13</v>
      </c>
      <c r="C316" s="331" t="s">
        <v>1293</v>
      </c>
      <c r="D316" s="332">
        <v>982800</v>
      </c>
      <c r="E316" s="149" t="s">
        <v>14</v>
      </c>
      <c r="F316" s="149">
        <v>42912340</v>
      </c>
      <c r="G316" s="149" t="s">
        <v>18</v>
      </c>
      <c r="H316" s="149" t="s">
        <v>14</v>
      </c>
      <c r="I316" s="327" t="s">
        <v>14</v>
      </c>
    </row>
    <row r="317" spans="1:9" ht="46.8" x14ac:dyDescent="0.35">
      <c r="A317" s="149" t="s">
        <v>1238</v>
      </c>
      <c r="B317" s="330" t="s">
        <v>50</v>
      </c>
      <c r="C317" s="331" t="s">
        <v>1294</v>
      </c>
      <c r="D317" s="332">
        <v>70000</v>
      </c>
      <c r="E317" s="149" t="s">
        <v>14</v>
      </c>
      <c r="F317" s="149" t="s">
        <v>1295</v>
      </c>
      <c r="G317" s="149" t="s">
        <v>18</v>
      </c>
      <c r="H317" s="149" t="s">
        <v>14</v>
      </c>
      <c r="I317" s="327" t="s">
        <v>14</v>
      </c>
    </row>
    <row r="318" spans="1:9" ht="46.8" x14ac:dyDescent="0.35">
      <c r="A318" s="149" t="s">
        <v>1238</v>
      </c>
      <c r="B318" s="330" t="s">
        <v>50</v>
      </c>
      <c r="C318" s="331" t="s">
        <v>1296</v>
      </c>
      <c r="D318" s="332">
        <v>350000</v>
      </c>
      <c r="E318" s="149" t="s">
        <v>14</v>
      </c>
      <c r="F318" s="149" t="s">
        <v>1297</v>
      </c>
      <c r="G318" s="149" t="s">
        <v>18</v>
      </c>
      <c r="H318" s="149" t="s">
        <v>14</v>
      </c>
      <c r="I318" s="327" t="s">
        <v>14</v>
      </c>
    </row>
    <row r="319" spans="1:9" ht="46.8" x14ac:dyDescent="0.35">
      <c r="A319" s="149" t="s">
        <v>1238</v>
      </c>
      <c r="B319" s="330" t="s">
        <v>50</v>
      </c>
      <c r="C319" s="331" t="s">
        <v>1298</v>
      </c>
      <c r="D319" s="332">
        <v>250000</v>
      </c>
      <c r="E319" s="149" t="s">
        <v>14</v>
      </c>
      <c r="F319" s="149" t="s">
        <v>1297</v>
      </c>
      <c r="G319" s="149" t="s">
        <v>18</v>
      </c>
      <c r="H319" s="149" t="s">
        <v>14</v>
      </c>
      <c r="I319" s="327" t="s">
        <v>14</v>
      </c>
    </row>
    <row r="320" spans="1:9" ht="46.8" x14ac:dyDescent="0.35">
      <c r="A320" s="149" t="s">
        <v>1238</v>
      </c>
      <c r="B320" s="330" t="s">
        <v>859</v>
      </c>
      <c r="C320" s="258" t="s">
        <v>1299</v>
      </c>
      <c r="D320" s="332">
        <v>2090820</v>
      </c>
      <c r="E320" s="149" t="s">
        <v>14</v>
      </c>
      <c r="F320" s="149" t="s">
        <v>1300</v>
      </c>
      <c r="G320" s="149" t="s">
        <v>24</v>
      </c>
      <c r="H320" s="333" t="s">
        <v>72</v>
      </c>
      <c r="I320" s="327" t="s">
        <v>14</v>
      </c>
    </row>
    <row r="321" spans="1:9" ht="46.8" x14ac:dyDescent="0.35">
      <c r="A321" s="149" t="s">
        <v>1238</v>
      </c>
      <c r="B321" s="330" t="s">
        <v>859</v>
      </c>
      <c r="C321" s="258" t="s">
        <v>1301</v>
      </c>
      <c r="D321" s="332">
        <v>40800</v>
      </c>
      <c r="E321" s="149" t="s">
        <v>14</v>
      </c>
      <c r="F321" s="149" t="s">
        <v>1302</v>
      </c>
      <c r="G321" s="149" t="s">
        <v>24</v>
      </c>
      <c r="H321" s="333" t="s">
        <v>72</v>
      </c>
      <c r="I321" s="327" t="s">
        <v>14</v>
      </c>
    </row>
    <row r="322" spans="1:9" ht="46.8" x14ac:dyDescent="0.35">
      <c r="A322" s="149" t="s">
        <v>1238</v>
      </c>
      <c r="B322" s="330" t="s">
        <v>859</v>
      </c>
      <c r="C322" s="258" t="s">
        <v>1303</v>
      </c>
      <c r="D322" s="332">
        <v>10000</v>
      </c>
      <c r="E322" s="149" t="s">
        <v>14</v>
      </c>
      <c r="F322" s="149" t="s">
        <v>1304</v>
      </c>
      <c r="G322" s="328" t="s">
        <v>24</v>
      </c>
      <c r="H322" s="149" t="s">
        <v>14</v>
      </c>
      <c r="I322" s="327" t="s">
        <v>14</v>
      </c>
    </row>
    <row r="323" spans="1:9" ht="46.8" x14ac:dyDescent="0.35">
      <c r="A323" s="149" t="s">
        <v>1238</v>
      </c>
      <c r="B323" s="330" t="s">
        <v>859</v>
      </c>
      <c r="C323" s="258" t="s">
        <v>1305</v>
      </c>
      <c r="D323" s="332">
        <v>2730000</v>
      </c>
      <c r="E323" s="149" t="s">
        <v>72</v>
      </c>
      <c r="F323" s="149" t="s">
        <v>1306</v>
      </c>
      <c r="G323" s="149" t="s">
        <v>18</v>
      </c>
      <c r="H323" s="333" t="s">
        <v>72</v>
      </c>
      <c r="I323" s="327" t="s">
        <v>14</v>
      </c>
    </row>
    <row r="324" spans="1:9" ht="46.8" x14ac:dyDescent="0.35">
      <c r="A324" s="149" t="s">
        <v>1238</v>
      </c>
      <c r="B324" s="149" t="s">
        <v>859</v>
      </c>
      <c r="C324" s="258" t="s">
        <v>1307</v>
      </c>
      <c r="D324" s="325">
        <v>3520000</v>
      </c>
      <c r="E324" s="149" t="s">
        <v>14</v>
      </c>
      <c r="F324" s="149" t="s">
        <v>1308</v>
      </c>
      <c r="G324" s="328" t="s">
        <v>24</v>
      </c>
      <c r="H324" s="333" t="s">
        <v>72</v>
      </c>
      <c r="I324" s="327" t="s">
        <v>14</v>
      </c>
    </row>
    <row r="325" spans="1:9" ht="46.8" x14ac:dyDescent="0.35">
      <c r="A325" s="149" t="s">
        <v>1238</v>
      </c>
      <c r="B325" s="149" t="s">
        <v>859</v>
      </c>
      <c r="C325" s="258" t="s">
        <v>1309</v>
      </c>
      <c r="D325" s="325">
        <v>1400000</v>
      </c>
      <c r="E325" s="149" t="s">
        <v>72</v>
      </c>
      <c r="F325" s="149" t="s">
        <v>1310</v>
      </c>
      <c r="G325" s="149" t="s">
        <v>187</v>
      </c>
      <c r="H325" s="333" t="s">
        <v>72</v>
      </c>
      <c r="I325" s="327" t="s">
        <v>14</v>
      </c>
    </row>
    <row r="326" spans="1:9" ht="46.8" x14ac:dyDescent="0.35">
      <c r="A326" s="149" t="s">
        <v>1238</v>
      </c>
      <c r="B326" s="149" t="s">
        <v>859</v>
      </c>
      <c r="C326" s="258" t="s">
        <v>1311</v>
      </c>
      <c r="D326" s="325">
        <v>176000</v>
      </c>
      <c r="E326" s="149" t="s">
        <v>14</v>
      </c>
      <c r="F326" s="149" t="s">
        <v>1312</v>
      </c>
      <c r="G326" s="328" t="s">
        <v>24</v>
      </c>
      <c r="H326" s="333" t="s">
        <v>72</v>
      </c>
      <c r="I326" s="327" t="s">
        <v>14</v>
      </c>
    </row>
    <row r="327" spans="1:9" ht="46.8" x14ac:dyDescent="0.35">
      <c r="A327" s="149" t="s">
        <v>1238</v>
      </c>
      <c r="B327" s="149" t="s">
        <v>13</v>
      </c>
      <c r="C327" s="258" t="s">
        <v>1313</v>
      </c>
      <c r="D327" s="325">
        <v>8000000</v>
      </c>
      <c r="E327" s="149"/>
      <c r="F327" s="149" t="s">
        <v>1314</v>
      </c>
      <c r="G327" s="149" t="s">
        <v>18</v>
      </c>
      <c r="H327" s="333" t="s">
        <v>72</v>
      </c>
      <c r="I327" s="327" t="s">
        <v>14</v>
      </c>
    </row>
    <row r="328" spans="1:9" ht="46.8" x14ac:dyDescent="0.35">
      <c r="A328" s="149" t="s">
        <v>1238</v>
      </c>
      <c r="B328" s="149" t="s">
        <v>13</v>
      </c>
      <c r="C328" s="258" t="s">
        <v>1315</v>
      </c>
      <c r="D328" s="325">
        <v>520000</v>
      </c>
      <c r="E328" s="149" t="s">
        <v>14</v>
      </c>
      <c r="F328" s="149" t="s">
        <v>1316</v>
      </c>
      <c r="G328" s="328" t="s">
        <v>24</v>
      </c>
      <c r="H328" s="333" t="s">
        <v>72</v>
      </c>
      <c r="I328" s="327" t="s">
        <v>14</v>
      </c>
    </row>
    <row r="329" spans="1:9" ht="46.8" x14ac:dyDescent="0.35">
      <c r="A329" s="149" t="s">
        <v>1238</v>
      </c>
      <c r="B329" s="149" t="s">
        <v>859</v>
      </c>
      <c r="C329" s="258" t="s">
        <v>1317</v>
      </c>
      <c r="D329" s="325">
        <f>216171.21-15000</f>
        <v>201171.21</v>
      </c>
      <c r="E329" s="149" t="s">
        <v>14</v>
      </c>
      <c r="F329" s="149" t="s">
        <v>1318</v>
      </c>
      <c r="G329" s="149" t="s">
        <v>187</v>
      </c>
      <c r="H329" s="333" t="s">
        <v>72</v>
      </c>
      <c r="I329" s="327" t="s">
        <v>14</v>
      </c>
    </row>
    <row r="330" spans="1:9" ht="46.8" x14ac:dyDescent="0.35">
      <c r="A330" s="149" t="s">
        <v>1238</v>
      </c>
      <c r="B330" s="149" t="s">
        <v>859</v>
      </c>
      <c r="C330" s="258" t="s">
        <v>1319</v>
      </c>
      <c r="D330" s="325">
        <v>20000</v>
      </c>
      <c r="E330" s="149" t="s">
        <v>14</v>
      </c>
      <c r="F330" s="149" t="s">
        <v>1318</v>
      </c>
      <c r="G330" s="328" t="s">
        <v>18</v>
      </c>
      <c r="H330" s="333" t="s">
        <v>72</v>
      </c>
      <c r="I330" s="327" t="s">
        <v>14</v>
      </c>
    </row>
    <row r="331" spans="1:9" ht="62.4" x14ac:dyDescent="0.35">
      <c r="A331" s="149" t="s">
        <v>1238</v>
      </c>
      <c r="B331" s="149" t="s">
        <v>859</v>
      </c>
      <c r="C331" s="258" t="s">
        <v>1320</v>
      </c>
      <c r="D331" s="325">
        <f>211000*0.7</f>
        <v>147700</v>
      </c>
      <c r="E331" s="149" t="s">
        <v>14</v>
      </c>
      <c r="F331" s="149" t="s">
        <v>1321</v>
      </c>
      <c r="G331" s="328" t="s">
        <v>24</v>
      </c>
      <c r="H331" s="333" t="s">
        <v>72</v>
      </c>
      <c r="I331" s="327" t="s">
        <v>14</v>
      </c>
    </row>
    <row r="332" spans="1:9" ht="46.8" x14ac:dyDescent="0.35">
      <c r="A332" s="149" t="s">
        <v>1238</v>
      </c>
      <c r="B332" s="149" t="s">
        <v>13</v>
      </c>
      <c r="C332" s="258" t="s">
        <v>1322</v>
      </c>
      <c r="D332" s="325">
        <v>131250</v>
      </c>
      <c r="E332" s="149" t="s">
        <v>14</v>
      </c>
      <c r="F332" s="149" t="s">
        <v>1323</v>
      </c>
      <c r="G332" s="328" t="s">
        <v>18</v>
      </c>
      <c r="H332" s="149" t="s">
        <v>14</v>
      </c>
      <c r="I332" s="327" t="s">
        <v>14</v>
      </c>
    </row>
    <row r="333" spans="1:9" ht="46.8" x14ac:dyDescent="0.35">
      <c r="A333" s="149" t="s">
        <v>1238</v>
      </c>
      <c r="B333" s="149" t="s">
        <v>13</v>
      </c>
      <c r="C333" s="258" t="s">
        <v>1324</v>
      </c>
      <c r="D333" s="325">
        <v>68250</v>
      </c>
      <c r="E333" s="149" t="s">
        <v>14</v>
      </c>
      <c r="F333" s="149" t="s">
        <v>1325</v>
      </c>
      <c r="G333" s="328" t="s">
        <v>18</v>
      </c>
      <c r="H333" s="149" t="s">
        <v>14</v>
      </c>
      <c r="I333" s="327" t="s">
        <v>14</v>
      </c>
    </row>
    <row r="334" spans="1:9" ht="46.8" x14ac:dyDescent="0.35">
      <c r="A334" s="149" t="s">
        <v>1238</v>
      </c>
      <c r="B334" s="149" t="s">
        <v>13</v>
      </c>
      <c r="C334" s="258" t="s">
        <v>1326</v>
      </c>
      <c r="D334" s="325">
        <f>(31500*3)*1.2</f>
        <v>113400</v>
      </c>
      <c r="E334" s="149" t="s">
        <v>14</v>
      </c>
      <c r="F334" s="149" t="s">
        <v>1327</v>
      </c>
      <c r="G334" s="149" t="s">
        <v>187</v>
      </c>
      <c r="H334" s="149" t="s">
        <v>14</v>
      </c>
      <c r="I334" s="327" t="s">
        <v>14</v>
      </c>
    </row>
    <row r="335" spans="1:9" ht="46.8" x14ac:dyDescent="0.35">
      <c r="A335" s="149" t="s">
        <v>1238</v>
      </c>
      <c r="B335" s="149" t="s">
        <v>859</v>
      </c>
      <c r="C335" s="258" t="s">
        <v>1328</v>
      </c>
      <c r="D335" s="325">
        <v>123200</v>
      </c>
      <c r="E335" s="149" t="s">
        <v>14</v>
      </c>
      <c r="F335" s="149" t="s">
        <v>1327</v>
      </c>
      <c r="G335" s="328" t="s">
        <v>18</v>
      </c>
      <c r="H335" s="333" t="s">
        <v>72</v>
      </c>
      <c r="I335" s="327" t="s">
        <v>14</v>
      </c>
    </row>
    <row r="336" spans="1:9" ht="46.8" x14ac:dyDescent="0.35">
      <c r="A336" s="149" t="s">
        <v>1238</v>
      </c>
      <c r="B336" s="149" t="s">
        <v>13</v>
      </c>
      <c r="C336" s="258" t="s">
        <v>1329</v>
      </c>
      <c r="D336" s="325">
        <v>44000</v>
      </c>
      <c r="E336" s="149" t="s">
        <v>14</v>
      </c>
      <c r="F336" s="149" t="s">
        <v>1327</v>
      </c>
      <c r="G336" s="328" t="s">
        <v>24</v>
      </c>
      <c r="H336" s="333" t="s">
        <v>72</v>
      </c>
      <c r="I336" s="327" t="s">
        <v>14</v>
      </c>
    </row>
    <row r="337" spans="1:9" ht="46.8" x14ac:dyDescent="0.35">
      <c r="A337" s="149" t="s">
        <v>1238</v>
      </c>
      <c r="B337" s="149" t="s">
        <v>13</v>
      </c>
      <c r="C337" s="258" t="s">
        <v>1330</v>
      </c>
      <c r="D337" s="325">
        <f>(20000*1)*1.2</f>
        <v>24000</v>
      </c>
      <c r="E337" s="149" t="s">
        <v>14</v>
      </c>
      <c r="F337" s="149" t="s">
        <v>1327</v>
      </c>
      <c r="G337" s="328" t="s">
        <v>18</v>
      </c>
      <c r="H337" s="149" t="s">
        <v>14</v>
      </c>
      <c r="I337" s="327" t="s">
        <v>14</v>
      </c>
    </row>
    <row r="338" spans="1:9" ht="46.8" x14ac:dyDescent="0.35">
      <c r="A338" s="149" t="s">
        <v>1238</v>
      </c>
      <c r="B338" s="149" t="s">
        <v>859</v>
      </c>
      <c r="C338" s="258" t="s">
        <v>1331</v>
      </c>
      <c r="D338" s="325">
        <v>96250</v>
      </c>
      <c r="E338" s="149" t="s">
        <v>14</v>
      </c>
      <c r="F338" s="149" t="s">
        <v>1332</v>
      </c>
      <c r="G338" s="328" t="s">
        <v>18</v>
      </c>
      <c r="H338" s="333" t="s">
        <v>72</v>
      </c>
      <c r="I338" s="327" t="s">
        <v>14</v>
      </c>
    </row>
    <row r="339" spans="1:9" ht="46.8" x14ac:dyDescent="0.35">
      <c r="A339" s="149" t="s">
        <v>1238</v>
      </c>
      <c r="B339" s="149" t="s">
        <v>859</v>
      </c>
      <c r="C339" s="258" t="s">
        <v>1333</v>
      </c>
      <c r="D339" s="325">
        <v>157500</v>
      </c>
      <c r="E339" s="149" t="s">
        <v>14</v>
      </c>
      <c r="F339" s="149">
        <v>72000000</v>
      </c>
      <c r="G339" s="328" t="s">
        <v>18</v>
      </c>
      <c r="H339" s="149" t="s">
        <v>14</v>
      </c>
      <c r="I339" s="327" t="s">
        <v>14</v>
      </c>
    </row>
    <row r="340" spans="1:9" ht="46.8" x14ac:dyDescent="0.35">
      <c r="A340" s="149" t="s">
        <v>1238</v>
      </c>
      <c r="B340" s="149" t="s">
        <v>859</v>
      </c>
      <c r="C340" s="258" t="s">
        <v>1334</v>
      </c>
      <c r="D340" s="325">
        <v>231004.4</v>
      </c>
      <c r="E340" s="149" t="s">
        <v>14</v>
      </c>
      <c r="F340" s="149" t="s">
        <v>1335</v>
      </c>
      <c r="G340" s="328" t="s">
        <v>18</v>
      </c>
      <c r="H340" s="333" t="s">
        <v>72</v>
      </c>
      <c r="I340" s="327" t="s">
        <v>14</v>
      </c>
    </row>
    <row r="341" spans="1:9" ht="46.8" x14ac:dyDescent="0.35">
      <c r="A341" s="149" t="s">
        <v>1238</v>
      </c>
      <c r="B341" s="149" t="s">
        <v>13</v>
      </c>
      <c r="C341" s="258" t="s">
        <v>1336</v>
      </c>
      <c r="D341" s="325">
        <f>(2*3500)*1.2</f>
        <v>8400</v>
      </c>
      <c r="E341" s="149" t="s">
        <v>14</v>
      </c>
      <c r="F341" s="149" t="s">
        <v>1327</v>
      </c>
      <c r="G341" s="328" t="s">
        <v>18</v>
      </c>
      <c r="H341" s="333" t="s">
        <v>72</v>
      </c>
      <c r="I341" s="327" t="s">
        <v>14</v>
      </c>
    </row>
    <row r="342" spans="1:9" ht="46.8" x14ac:dyDescent="0.35">
      <c r="A342" s="149" t="s">
        <v>1238</v>
      </c>
      <c r="B342" s="149" t="s">
        <v>859</v>
      </c>
      <c r="C342" s="258" t="s">
        <v>1337</v>
      </c>
      <c r="D342" s="325">
        <f>30000*1.2</f>
        <v>36000</v>
      </c>
      <c r="E342" s="149" t="s">
        <v>14</v>
      </c>
      <c r="F342" s="149">
        <v>72000000</v>
      </c>
      <c r="G342" s="328" t="s">
        <v>18</v>
      </c>
      <c r="H342" s="149" t="s">
        <v>14</v>
      </c>
      <c r="I342" s="327" t="s">
        <v>14</v>
      </c>
    </row>
    <row r="343" spans="1:9" ht="46.8" x14ac:dyDescent="0.35">
      <c r="A343" s="149" t="s">
        <v>1238</v>
      </c>
      <c r="B343" s="149" t="s">
        <v>859</v>
      </c>
      <c r="C343" s="258" t="s">
        <v>1338</v>
      </c>
      <c r="D343" s="325">
        <v>76800</v>
      </c>
      <c r="E343" s="149" t="s">
        <v>14</v>
      </c>
      <c r="F343" s="149">
        <v>72000000</v>
      </c>
      <c r="G343" s="328" t="s">
        <v>18</v>
      </c>
      <c r="H343" s="333" t="s">
        <v>72</v>
      </c>
      <c r="I343" s="327" t="s">
        <v>14</v>
      </c>
    </row>
    <row r="344" spans="1:9" ht="46.8" x14ac:dyDescent="0.35">
      <c r="A344" s="149" t="s">
        <v>1238</v>
      </c>
      <c r="B344" s="149" t="s">
        <v>13</v>
      </c>
      <c r="C344" s="258" t="s">
        <v>1339</v>
      </c>
      <c r="D344" s="325">
        <v>148800</v>
      </c>
      <c r="E344" s="149" t="s">
        <v>14</v>
      </c>
      <c r="F344" s="149" t="s">
        <v>1327</v>
      </c>
      <c r="G344" s="328" t="s">
        <v>24</v>
      </c>
      <c r="H344" s="333" t="s">
        <v>72</v>
      </c>
      <c r="I344" s="327" t="s">
        <v>14</v>
      </c>
    </row>
    <row r="345" spans="1:9" ht="46.8" x14ac:dyDescent="0.35">
      <c r="A345" s="149" t="s">
        <v>1238</v>
      </c>
      <c r="B345" s="152" t="s">
        <v>859</v>
      </c>
      <c r="C345" s="334" t="s">
        <v>1340</v>
      </c>
      <c r="D345" s="335">
        <v>21000</v>
      </c>
      <c r="E345" s="152" t="s">
        <v>14</v>
      </c>
      <c r="F345" s="149" t="s">
        <v>1341</v>
      </c>
      <c r="G345" s="328" t="s">
        <v>24</v>
      </c>
      <c r="H345" s="152" t="s">
        <v>14</v>
      </c>
      <c r="I345" s="327" t="s">
        <v>14</v>
      </c>
    </row>
    <row r="346" spans="1:9" ht="46.8" x14ac:dyDescent="0.35">
      <c r="A346" s="149" t="s">
        <v>1238</v>
      </c>
      <c r="B346" s="152" t="s">
        <v>859</v>
      </c>
      <c r="C346" s="334" t="s">
        <v>1342</v>
      </c>
      <c r="D346" s="335">
        <f>(4*50000)*1.2</f>
        <v>240000</v>
      </c>
      <c r="E346" s="152" t="s">
        <v>14</v>
      </c>
      <c r="F346" s="149">
        <v>72000000</v>
      </c>
      <c r="G346" s="328" t="s">
        <v>24</v>
      </c>
      <c r="H346" s="333" t="s">
        <v>72</v>
      </c>
      <c r="I346" s="327" t="s">
        <v>14</v>
      </c>
    </row>
    <row r="347" spans="1:9" ht="46.8" x14ac:dyDescent="0.35">
      <c r="A347" s="149" t="s">
        <v>1238</v>
      </c>
      <c r="B347" s="152" t="s">
        <v>859</v>
      </c>
      <c r="C347" s="334" t="s">
        <v>1343</v>
      </c>
      <c r="D347" s="335">
        <v>5500</v>
      </c>
      <c r="E347" s="152" t="s">
        <v>14</v>
      </c>
      <c r="F347" s="149" t="s">
        <v>1327</v>
      </c>
      <c r="G347" s="149" t="s">
        <v>18</v>
      </c>
      <c r="H347" s="152" t="s">
        <v>14</v>
      </c>
      <c r="I347" s="327" t="s">
        <v>14</v>
      </c>
    </row>
    <row r="348" spans="1:9" ht="46.8" x14ac:dyDescent="0.35">
      <c r="A348" s="149" t="s">
        <v>1238</v>
      </c>
      <c r="B348" s="152" t="s">
        <v>859</v>
      </c>
      <c r="C348" s="334" t="s">
        <v>1344</v>
      </c>
      <c r="D348" s="335">
        <v>18900</v>
      </c>
      <c r="E348" s="152" t="s">
        <v>14</v>
      </c>
      <c r="F348" s="149">
        <v>72000000</v>
      </c>
      <c r="G348" s="152" t="s">
        <v>24</v>
      </c>
      <c r="H348" s="152" t="s">
        <v>14</v>
      </c>
      <c r="I348" s="327" t="s">
        <v>14</v>
      </c>
    </row>
    <row r="349" spans="1:9" ht="46.8" x14ac:dyDescent="0.35">
      <c r="A349" s="149" t="s">
        <v>1238</v>
      </c>
      <c r="B349" s="152" t="s">
        <v>859</v>
      </c>
      <c r="C349" s="334" t="s">
        <v>1345</v>
      </c>
      <c r="D349" s="335">
        <v>22000</v>
      </c>
      <c r="E349" s="152" t="s">
        <v>14</v>
      </c>
      <c r="F349" s="149" t="s">
        <v>1341</v>
      </c>
      <c r="G349" s="152" t="s">
        <v>24</v>
      </c>
      <c r="H349" s="152" t="s">
        <v>14</v>
      </c>
      <c r="I349" s="327" t="s">
        <v>14</v>
      </c>
    </row>
    <row r="350" spans="1:9" ht="46.8" x14ac:dyDescent="0.35">
      <c r="A350" s="149" t="s">
        <v>1238</v>
      </c>
      <c r="B350" s="149" t="s">
        <v>859</v>
      </c>
      <c r="C350" s="258" t="s">
        <v>1346</v>
      </c>
      <c r="D350" s="325">
        <v>79500</v>
      </c>
      <c r="E350" s="149" t="s">
        <v>14</v>
      </c>
      <c r="F350" s="149" t="s">
        <v>1327</v>
      </c>
      <c r="G350" s="149" t="s">
        <v>18</v>
      </c>
      <c r="H350" s="333" t="s">
        <v>72</v>
      </c>
      <c r="I350" s="327" t="s">
        <v>14</v>
      </c>
    </row>
    <row r="351" spans="1:9" ht="46.8" x14ac:dyDescent="0.35">
      <c r="A351" s="149" t="s">
        <v>1238</v>
      </c>
      <c r="B351" s="149" t="s">
        <v>859</v>
      </c>
      <c r="C351" s="258" t="s">
        <v>1347</v>
      </c>
      <c r="D351" s="325">
        <v>180000</v>
      </c>
      <c r="E351" s="149" t="s">
        <v>14</v>
      </c>
      <c r="F351" s="149" t="s">
        <v>1341</v>
      </c>
      <c r="G351" s="328" t="s">
        <v>24</v>
      </c>
      <c r="H351" s="333" t="s">
        <v>72</v>
      </c>
      <c r="I351" s="327" t="s">
        <v>14</v>
      </c>
    </row>
    <row r="352" spans="1:9" ht="46.8" x14ac:dyDescent="0.35">
      <c r="A352" s="149" t="s">
        <v>1238</v>
      </c>
      <c r="B352" s="149" t="s">
        <v>859</v>
      </c>
      <c r="C352" s="258" t="s">
        <v>1348</v>
      </c>
      <c r="D352" s="325">
        <v>190000</v>
      </c>
      <c r="E352" s="149" t="s">
        <v>14</v>
      </c>
      <c r="F352" s="149" t="s">
        <v>1341</v>
      </c>
      <c r="G352" s="149" t="s">
        <v>18</v>
      </c>
      <c r="H352" s="333" t="s">
        <v>72</v>
      </c>
      <c r="I352" s="327" t="s">
        <v>14</v>
      </c>
    </row>
    <row r="353" spans="1:9" ht="46.8" x14ac:dyDescent="0.35">
      <c r="A353" s="149" t="s">
        <v>1238</v>
      </c>
      <c r="B353" s="149" t="s">
        <v>1349</v>
      </c>
      <c r="C353" s="258" t="s">
        <v>1350</v>
      </c>
      <c r="D353" s="325">
        <v>6300</v>
      </c>
      <c r="E353" s="149" t="s">
        <v>14</v>
      </c>
      <c r="F353" s="149" t="s">
        <v>1327</v>
      </c>
      <c r="G353" s="149" t="s">
        <v>18</v>
      </c>
      <c r="H353" s="333" t="s">
        <v>72</v>
      </c>
      <c r="I353" s="327" t="s">
        <v>14</v>
      </c>
    </row>
    <row r="354" spans="1:9" ht="46.8" x14ac:dyDescent="0.35">
      <c r="A354" s="149" t="s">
        <v>1238</v>
      </c>
      <c r="B354" s="149" t="s">
        <v>1349</v>
      </c>
      <c r="C354" s="258" t="s">
        <v>1351</v>
      </c>
      <c r="D354" s="325">
        <v>60000</v>
      </c>
      <c r="E354" s="149" t="s">
        <v>14</v>
      </c>
      <c r="F354" s="149" t="s">
        <v>1327</v>
      </c>
      <c r="G354" s="149" t="s">
        <v>18</v>
      </c>
      <c r="H354" s="333" t="s">
        <v>72</v>
      </c>
      <c r="I354" s="327" t="s">
        <v>14</v>
      </c>
    </row>
    <row r="355" spans="1:9" ht="46.8" x14ac:dyDescent="0.35">
      <c r="A355" s="149" t="s">
        <v>1238</v>
      </c>
      <c r="B355" s="149" t="s">
        <v>1352</v>
      </c>
      <c r="C355" s="258" t="s">
        <v>1353</v>
      </c>
      <c r="D355" s="325">
        <v>350000</v>
      </c>
      <c r="E355" s="149" t="s">
        <v>14</v>
      </c>
      <c r="F355" s="149" t="s">
        <v>1354</v>
      </c>
      <c r="G355" s="149" t="s">
        <v>193</v>
      </c>
      <c r="H355" s="149" t="s">
        <v>14</v>
      </c>
      <c r="I355" s="327" t="s">
        <v>14</v>
      </c>
    </row>
    <row r="356" spans="1:9" ht="46.8" x14ac:dyDescent="0.35">
      <c r="A356" s="149" t="s">
        <v>1238</v>
      </c>
      <c r="B356" s="149" t="s">
        <v>1349</v>
      </c>
      <c r="C356" s="258" t="s">
        <v>1355</v>
      </c>
      <c r="D356" s="325">
        <v>4500</v>
      </c>
      <c r="E356" s="149" t="s">
        <v>14</v>
      </c>
      <c r="F356" s="149" t="s">
        <v>1327</v>
      </c>
      <c r="G356" s="149" t="s">
        <v>187</v>
      </c>
      <c r="H356" s="149" t="s">
        <v>14</v>
      </c>
      <c r="I356" s="327" t="s">
        <v>14</v>
      </c>
    </row>
    <row r="357" spans="1:9" ht="46.8" x14ac:dyDescent="0.35">
      <c r="A357" s="149" t="s">
        <v>1238</v>
      </c>
      <c r="B357" s="149" t="s">
        <v>1349</v>
      </c>
      <c r="C357" s="258" t="s">
        <v>1356</v>
      </c>
      <c r="D357" s="325">
        <v>10000</v>
      </c>
      <c r="E357" s="149" t="s">
        <v>14</v>
      </c>
      <c r="F357" s="149" t="s">
        <v>1327</v>
      </c>
      <c r="G357" s="149" t="s">
        <v>187</v>
      </c>
      <c r="H357" s="149" t="s">
        <v>14</v>
      </c>
      <c r="I357" s="327" t="s">
        <v>14</v>
      </c>
    </row>
    <row r="358" spans="1:9" ht="46.8" x14ac:dyDescent="0.35">
      <c r="A358" s="149" t="s">
        <v>1238</v>
      </c>
      <c r="B358" s="149" t="s">
        <v>1349</v>
      </c>
      <c r="C358" s="258" t="s">
        <v>1357</v>
      </c>
      <c r="D358" s="325">
        <v>5400</v>
      </c>
      <c r="E358" s="149" t="s">
        <v>14</v>
      </c>
      <c r="F358" s="149" t="s">
        <v>1327</v>
      </c>
      <c r="G358" s="149" t="s">
        <v>187</v>
      </c>
      <c r="H358" s="149" t="s">
        <v>14</v>
      </c>
      <c r="I358" s="327" t="s">
        <v>14</v>
      </c>
    </row>
    <row r="359" spans="1:9" ht="46.8" x14ac:dyDescent="0.35">
      <c r="A359" s="149" t="s">
        <v>1238</v>
      </c>
      <c r="B359" s="149" t="s">
        <v>1349</v>
      </c>
      <c r="C359" s="258" t="s">
        <v>1358</v>
      </c>
      <c r="D359" s="325">
        <v>1620</v>
      </c>
      <c r="E359" s="149" t="s">
        <v>14</v>
      </c>
      <c r="F359" s="149" t="s">
        <v>1327</v>
      </c>
      <c r="G359" s="149" t="s">
        <v>187</v>
      </c>
      <c r="H359" s="149" t="s">
        <v>14</v>
      </c>
      <c r="I359" s="327" t="s">
        <v>14</v>
      </c>
    </row>
    <row r="360" spans="1:9" ht="46.8" x14ac:dyDescent="0.35">
      <c r="A360" s="149" t="s">
        <v>1238</v>
      </c>
      <c r="B360" s="149" t="s">
        <v>1349</v>
      </c>
      <c r="C360" s="258" t="s">
        <v>1359</v>
      </c>
      <c r="D360" s="325">
        <v>4200</v>
      </c>
      <c r="E360" s="149" t="s">
        <v>14</v>
      </c>
      <c r="F360" s="149" t="s">
        <v>1327</v>
      </c>
      <c r="G360" s="149" t="s">
        <v>187</v>
      </c>
      <c r="H360" s="149" t="s">
        <v>14</v>
      </c>
      <c r="I360" s="327" t="s">
        <v>14</v>
      </c>
    </row>
    <row r="361" spans="1:9" ht="46.8" x14ac:dyDescent="0.35">
      <c r="A361" s="149" t="s">
        <v>1238</v>
      </c>
      <c r="B361" s="149" t="s">
        <v>1349</v>
      </c>
      <c r="C361" s="258" t="s">
        <v>1360</v>
      </c>
      <c r="D361" s="325">
        <v>13800</v>
      </c>
      <c r="E361" s="149" t="s">
        <v>14</v>
      </c>
      <c r="F361" s="149" t="s">
        <v>1327</v>
      </c>
      <c r="G361" s="149" t="s">
        <v>187</v>
      </c>
      <c r="H361" s="149" t="s">
        <v>14</v>
      </c>
      <c r="I361" s="327" t="s">
        <v>14</v>
      </c>
    </row>
    <row r="362" spans="1:9" ht="46.8" x14ac:dyDescent="0.35">
      <c r="A362" s="149" t="s">
        <v>1238</v>
      </c>
      <c r="B362" s="149" t="s">
        <v>1352</v>
      </c>
      <c r="C362" s="258" t="s">
        <v>1361</v>
      </c>
      <c r="D362" s="325">
        <v>19000</v>
      </c>
      <c r="E362" s="149" t="s">
        <v>14</v>
      </c>
      <c r="F362" s="149">
        <v>72000000</v>
      </c>
      <c r="G362" s="149" t="s">
        <v>187</v>
      </c>
      <c r="H362" s="149" t="s">
        <v>14</v>
      </c>
      <c r="I362" s="327" t="s">
        <v>14</v>
      </c>
    </row>
    <row r="363" spans="1:9" ht="46.8" x14ac:dyDescent="0.35">
      <c r="A363" s="149" t="s">
        <v>1238</v>
      </c>
      <c r="B363" s="149" t="s">
        <v>1352</v>
      </c>
      <c r="C363" s="258" t="s">
        <v>1362</v>
      </c>
      <c r="D363" s="325">
        <v>1210000</v>
      </c>
      <c r="E363" s="149" t="s">
        <v>14</v>
      </c>
      <c r="F363" s="149" t="s">
        <v>1327</v>
      </c>
      <c r="G363" s="149" t="s">
        <v>187</v>
      </c>
      <c r="H363" s="333" t="s">
        <v>72</v>
      </c>
      <c r="I363" s="327" t="s">
        <v>14</v>
      </c>
    </row>
    <row r="364" spans="1:9" ht="46.8" x14ac:dyDescent="0.35">
      <c r="A364" s="149" t="s">
        <v>1238</v>
      </c>
      <c r="B364" s="149" t="s">
        <v>1352</v>
      </c>
      <c r="C364" s="258" t="s">
        <v>1363</v>
      </c>
      <c r="D364" s="325">
        <v>135000</v>
      </c>
      <c r="E364" s="149" t="s">
        <v>14</v>
      </c>
      <c r="F364" s="149" t="s">
        <v>1327</v>
      </c>
      <c r="G364" s="149" t="s">
        <v>187</v>
      </c>
      <c r="H364" s="333" t="s">
        <v>72</v>
      </c>
      <c r="I364" s="327" t="s">
        <v>14</v>
      </c>
    </row>
    <row r="365" spans="1:9" ht="46.8" x14ac:dyDescent="0.35">
      <c r="A365" s="149" t="s">
        <v>1238</v>
      </c>
      <c r="B365" s="149" t="s">
        <v>1349</v>
      </c>
      <c r="C365" s="258" t="s">
        <v>1364</v>
      </c>
      <c r="D365" s="325">
        <v>14400</v>
      </c>
      <c r="E365" s="149" t="s">
        <v>14</v>
      </c>
      <c r="F365" s="149" t="s">
        <v>1327</v>
      </c>
      <c r="G365" s="149" t="s">
        <v>187</v>
      </c>
      <c r="H365" s="149" t="s">
        <v>14</v>
      </c>
      <c r="I365" s="327" t="s">
        <v>14</v>
      </c>
    </row>
    <row r="366" spans="1:9" ht="46.8" x14ac:dyDescent="0.35">
      <c r="A366" s="149" t="s">
        <v>1238</v>
      </c>
      <c r="B366" s="149" t="s">
        <v>1349</v>
      </c>
      <c r="C366" s="258" t="s">
        <v>1365</v>
      </c>
      <c r="D366" s="325">
        <v>10000</v>
      </c>
      <c r="E366" s="149" t="s">
        <v>14</v>
      </c>
      <c r="F366" s="149" t="s">
        <v>1327</v>
      </c>
      <c r="G366" s="149" t="s">
        <v>18</v>
      </c>
      <c r="H366" s="333" t="s">
        <v>72</v>
      </c>
      <c r="I366" s="327" t="s">
        <v>14</v>
      </c>
    </row>
    <row r="367" spans="1:9" ht="46.8" x14ac:dyDescent="0.35">
      <c r="A367" s="149" t="s">
        <v>1238</v>
      </c>
      <c r="B367" s="149" t="s">
        <v>1349</v>
      </c>
      <c r="C367" s="258" t="s">
        <v>1366</v>
      </c>
      <c r="D367" s="325">
        <v>198000</v>
      </c>
      <c r="E367" s="149" t="s">
        <v>14</v>
      </c>
      <c r="F367" s="149" t="s">
        <v>1327</v>
      </c>
      <c r="G367" s="149" t="s">
        <v>187</v>
      </c>
      <c r="H367" s="149" t="s">
        <v>14</v>
      </c>
      <c r="I367" s="327" t="s">
        <v>14</v>
      </c>
    </row>
    <row r="368" spans="1:9" ht="46.8" x14ac:dyDescent="0.35">
      <c r="A368" s="149" t="s">
        <v>1238</v>
      </c>
      <c r="B368" s="149" t="s">
        <v>1352</v>
      </c>
      <c r="C368" s="258" t="s">
        <v>1367</v>
      </c>
      <c r="D368" s="325">
        <v>130000</v>
      </c>
      <c r="E368" s="149" t="s">
        <v>14</v>
      </c>
      <c r="F368" s="149" t="s">
        <v>1354</v>
      </c>
      <c r="G368" s="149" t="s">
        <v>187</v>
      </c>
      <c r="H368" s="149" t="s">
        <v>14</v>
      </c>
      <c r="I368" s="327" t="s">
        <v>14</v>
      </c>
    </row>
    <row r="369" spans="1:9" ht="46.8" x14ac:dyDescent="0.35">
      <c r="A369" s="149" t="s">
        <v>1238</v>
      </c>
      <c r="B369" s="149" t="s">
        <v>1352</v>
      </c>
      <c r="C369" s="258" t="s">
        <v>1368</v>
      </c>
      <c r="D369" s="325">
        <v>125000</v>
      </c>
      <c r="E369" s="149" t="s">
        <v>14</v>
      </c>
      <c r="F369" s="149" t="s">
        <v>1369</v>
      </c>
      <c r="G369" s="149" t="s">
        <v>193</v>
      </c>
      <c r="H369" s="149" t="s">
        <v>14</v>
      </c>
      <c r="I369" s="327" t="s">
        <v>14</v>
      </c>
    </row>
    <row r="370" spans="1:9" ht="46.8" x14ac:dyDescent="0.35">
      <c r="A370" s="149" t="s">
        <v>1238</v>
      </c>
      <c r="B370" s="149" t="s">
        <v>13</v>
      </c>
      <c r="C370" s="258" t="s">
        <v>1370</v>
      </c>
      <c r="D370" s="325">
        <v>200000</v>
      </c>
      <c r="E370" s="149" t="s">
        <v>14</v>
      </c>
      <c r="F370" s="149" t="s">
        <v>486</v>
      </c>
      <c r="G370" s="149" t="s">
        <v>18</v>
      </c>
      <c r="H370" s="333" t="s">
        <v>72</v>
      </c>
      <c r="I370" s="327" t="s">
        <v>14</v>
      </c>
    </row>
    <row r="371" spans="1:9" ht="46.8" x14ac:dyDescent="0.35">
      <c r="A371" s="149" t="s">
        <v>1238</v>
      </c>
      <c r="B371" s="149" t="s">
        <v>859</v>
      </c>
      <c r="C371" s="336" t="s">
        <v>1371</v>
      </c>
      <c r="D371" s="325">
        <v>44500</v>
      </c>
      <c r="E371" s="149" t="s">
        <v>14</v>
      </c>
      <c r="F371" s="149">
        <v>72000000</v>
      </c>
      <c r="G371" s="149" t="s">
        <v>18</v>
      </c>
      <c r="H371" s="333" t="s">
        <v>72</v>
      </c>
      <c r="I371" s="327" t="s">
        <v>14</v>
      </c>
    </row>
    <row r="372" spans="1:9" ht="46.8" x14ac:dyDescent="0.35">
      <c r="A372" s="149" t="s">
        <v>1238</v>
      </c>
      <c r="B372" s="149" t="s">
        <v>859</v>
      </c>
      <c r="C372" s="336" t="s">
        <v>1372</v>
      </c>
      <c r="D372" s="325">
        <v>21000</v>
      </c>
      <c r="E372" s="149" t="s">
        <v>14</v>
      </c>
      <c r="F372" s="149">
        <v>72000000</v>
      </c>
      <c r="G372" s="149" t="s">
        <v>18</v>
      </c>
      <c r="H372" s="149" t="s">
        <v>14</v>
      </c>
      <c r="I372" s="327" t="s">
        <v>14</v>
      </c>
    </row>
    <row r="373" spans="1:9" ht="46.8" x14ac:dyDescent="0.35">
      <c r="A373" s="149" t="s">
        <v>1238</v>
      </c>
      <c r="B373" s="149" t="s">
        <v>859</v>
      </c>
      <c r="C373" s="336" t="s">
        <v>1373</v>
      </c>
      <c r="D373" s="325">
        <v>40400</v>
      </c>
      <c r="E373" s="149" t="s">
        <v>14</v>
      </c>
      <c r="F373" s="149">
        <v>72000000</v>
      </c>
      <c r="G373" s="149" t="s">
        <v>18</v>
      </c>
      <c r="H373" s="333" t="s">
        <v>72</v>
      </c>
      <c r="I373" s="327" t="s">
        <v>14</v>
      </c>
    </row>
    <row r="374" spans="1:9" ht="46.8" x14ac:dyDescent="0.35">
      <c r="A374" s="149" t="s">
        <v>1238</v>
      </c>
      <c r="B374" s="149" t="s">
        <v>859</v>
      </c>
      <c r="C374" s="336" t="s">
        <v>1374</v>
      </c>
      <c r="D374" s="325">
        <v>320000</v>
      </c>
      <c r="E374" s="149" t="s">
        <v>14</v>
      </c>
      <c r="F374" s="149">
        <v>72000000</v>
      </c>
      <c r="G374" s="149" t="s">
        <v>18</v>
      </c>
      <c r="H374" s="333" t="s">
        <v>72</v>
      </c>
      <c r="I374" s="327" t="s">
        <v>14</v>
      </c>
    </row>
    <row r="375" spans="1:9" ht="46.8" x14ac:dyDescent="0.35">
      <c r="A375" s="149" t="s">
        <v>1238</v>
      </c>
      <c r="B375" s="149" t="s">
        <v>859</v>
      </c>
      <c r="C375" s="336" t="s">
        <v>1375</v>
      </c>
      <c r="D375" s="325">
        <v>200000</v>
      </c>
      <c r="E375" s="149" t="s">
        <v>14</v>
      </c>
      <c r="F375" s="149">
        <v>72000000</v>
      </c>
      <c r="G375" s="149" t="s">
        <v>18</v>
      </c>
      <c r="H375" s="333" t="s">
        <v>72</v>
      </c>
      <c r="I375" s="327" t="s">
        <v>14</v>
      </c>
    </row>
    <row r="376" spans="1:9" ht="46.8" x14ac:dyDescent="0.35">
      <c r="A376" s="149" t="s">
        <v>1238</v>
      </c>
      <c r="B376" s="149" t="s">
        <v>859</v>
      </c>
      <c r="C376" s="336" t="s">
        <v>1376</v>
      </c>
      <c r="D376" s="325">
        <v>200000</v>
      </c>
      <c r="E376" s="149" t="s">
        <v>14</v>
      </c>
      <c r="F376" s="149">
        <v>72000000</v>
      </c>
      <c r="G376" s="149" t="s">
        <v>18</v>
      </c>
      <c r="H376" s="333" t="s">
        <v>72</v>
      </c>
      <c r="I376" s="327" t="s">
        <v>14</v>
      </c>
    </row>
    <row r="377" spans="1:9" ht="46.8" x14ac:dyDescent="0.35">
      <c r="A377" s="149" t="s">
        <v>1238</v>
      </c>
      <c r="B377" s="187" t="s">
        <v>859</v>
      </c>
      <c r="C377" s="255" t="s">
        <v>1377</v>
      </c>
      <c r="D377" s="337">
        <v>49916.800000000003</v>
      </c>
      <c r="E377" s="187" t="s">
        <v>14</v>
      </c>
      <c r="F377" s="149">
        <v>72000000</v>
      </c>
      <c r="G377" s="187" t="s">
        <v>18</v>
      </c>
      <c r="H377" s="187" t="s">
        <v>14</v>
      </c>
      <c r="I377" s="327" t="s">
        <v>14</v>
      </c>
    </row>
    <row r="378" spans="1:9" ht="46.8" x14ac:dyDescent="0.35">
      <c r="A378" s="149" t="s">
        <v>1238</v>
      </c>
      <c r="B378" s="187" t="s">
        <v>13</v>
      </c>
      <c r="C378" s="255" t="s">
        <v>1378</v>
      </c>
      <c r="D378" s="337">
        <v>120000</v>
      </c>
      <c r="E378" s="187" t="s">
        <v>14</v>
      </c>
      <c r="F378" s="149" t="s">
        <v>486</v>
      </c>
      <c r="G378" s="187" t="s">
        <v>18</v>
      </c>
      <c r="H378" s="187" t="s">
        <v>14</v>
      </c>
      <c r="I378" s="327" t="s">
        <v>14</v>
      </c>
    </row>
    <row r="379" spans="1:9" ht="46.8" x14ac:dyDescent="0.35">
      <c r="A379" s="149" t="s">
        <v>1238</v>
      </c>
      <c r="B379" s="187" t="s">
        <v>859</v>
      </c>
      <c r="C379" s="255" t="s">
        <v>1379</v>
      </c>
      <c r="D379" s="337">
        <v>170280</v>
      </c>
      <c r="E379" s="187" t="s">
        <v>14</v>
      </c>
      <c r="F379" s="149">
        <v>72000000</v>
      </c>
      <c r="G379" s="187" t="s">
        <v>187</v>
      </c>
      <c r="H379" s="187" t="s">
        <v>14</v>
      </c>
      <c r="I379" s="327" t="s">
        <v>14</v>
      </c>
    </row>
    <row r="380" spans="1:9" ht="46.8" x14ac:dyDescent="0.35">
      <c r="A380" s="149" t="s">
        <v>1238</v>
      </c>
      <c r="B380" s="187" t="s">
        <v>859</v>
      </c>
      <c r="C380" s="255" t="s">
        <v>1380</v>
      </c>
      <c r="D380" s="337">
        <v>74000</v>
      </c>
      <c r="E380" s="187" t="s">
        <v>14</v>
      </c>
      <c r="F380" s="149">
        <v>72000000</v>
      </c>
      <c r="G380" s="187" t="s">
        <v>187</v>
      </c>
      <c r="H380" s="187" t="s">
        <v>14</v>
      </c>
      <c r="I380" s="327" t="s">
        <v>14</v>
      </c>
    </row>
    <row r="381" spans="1:9" ht="46.8" x14ac:dyDescent="0.35">
      <c r="A381" s="149" t="s">
        <v>1238</v>
      </c>
      <c r="B381" s="187" t="s">
        <v>859</v>
      </c>
      <c r="C381" s="255" t="s">
        <v>1381</v>
      </c>
      <c r="D381" s="337">
        <v>70000</v>
      </c>
      <c r="E381" s="187" t="s">
        <v>14</v>
      </c>
      <c r="F381" s="149">
        <v>72000000</v>
      </c>
      <c r="G381" s="187" t="s">
        <v>187</v>
      </c>
      <c r="H381" s="187" t="s">
        <v>14</v>
      </c>
      <c r="I381" s="327" t="s">
        <v>14</v>
      </c>
    </row>
    <row r="382" spans="1:9" ht="46.8" x14ac:dyDescent="0.35">
      <c r="A382" s="149" t="s">
        <v>1238</v>
      </c>
      <c r="B382" s="187" t="s">
        <v>859</v>
      </c>
      <c r="C382" s="255" t="s">
        <v>1382</v>
      </c>
      <c r="D382" s="337">
        <v>370000</v>
      </c>
      <c r="E382" s="187" t="s">
        <v>14</v>
      </c>
      <c r="F382" s="149">
        <v>72000000</v>
      </c>
      <c r="G382" s="187" t="s">
        <v>187</v>
      </c>
      <c r="H382" s="187" t="s">
        <v>14</v>
      </c>
      <c r="I382" s="327" t="s">
        <v>14</v>
      </c>
    </row>
    <row r="383" spans="1:9" ht="46.8" x14ac:dyDescent="0.35">
      <c r="A383" s="149" t="s">
        <v>1238</v>
      </c>
      <c r="B383" s="187" t="s">
        <v>859</v>
      </c>
      <c r="C383" s="255" t="s">
        <v>1383</v>
      </c>
      <c r="D383" s="337">
        <v>282000</v>
      </c>
      <c r="E383" s="187" t="s">
        <v>14</v>
      </c>
      <c r="F383" s="149">
        <v>72000000</v>
      </c>
      <c r="G383" s="187" t="s">
        <v>187</v>
      </c>
      <c r="H383" s="187" t="s">
        <v>14</v>
      </c>
      <c r="I383" s="327" t="s">
        <v>14</v>
      </c>
    </row>
    <row r="384" spans="1:9" ht="46.8" x14ac:dyDescent="0.35">
      <c r="A384" s="149" t="s">
        <v>1238</v>
      </c>
      <c r="B384" s="149" t="s">
        <v>13</v>
      </c>
      <c r="C384" s="258" t="s">
        <v>1384</v>
      </c>
      <c r="D384" s="337">
        <v>155100</v>
      </c>
      <c r="E384" s="149" t="s">
        <v>72</v>
      </c>
      <c r="F384" s="149" t="s">
        <v>1385</v>
      </c>
      <c r="G384" s="187" t="s">
        <v>120</v>
      </c>
      <c r="H384" s="149" t="s">
        <v>14</v>
      </c>
      <c r="I384" s="327" t="s">
        <v>14</v>
      </c>
    </row>
    <row r="385" spans="1:9" ht="46.8" x14ac:dyDescent="0.35">
      <c r="A385" s="149" t="s">
        <v>1238</v>
      </c>
      <c r="B385" s="149" t="s">
        <v>859</v>
      </c>
      <c r="C385" s="258" t="s">
        <v>1386</v>
      </c>
      <c r="D385" s="338">
        <v>112000</v>
      </c>
      <c r="E385" s="149" t="s">
        <v>72</v>
      </c>
      <c r="F385" s="149" t="s">
        <v>1387</v>
      </c>
      <c r="G385" s="149" t="s">
        <v>18</v>
      </c>
      <c r="H385" s="333" t="s">
        <v>72</v>
      </c>
      <c r="I385" s="327" t="s">
        <v>14</v>
      </c>
    </row>
    <row r="386" spans="1:9" ht="46.8" x14ac:dyDescent="0.35">
      <c r="A386" s="149" t="s">
        <v>1238</v>
      </c>
      <c r="B386" s="327" t="s">
        <v>859</v>
      </c>
      <c r="C386" s="339" t="s">
        <v>1388</v>
      </c>
      <c r="D386" s="338">
        <v>8800</v>
      </c>
      <c r="E386" s="149" t="s">
        <v>14</v>
      </c>
      <c r="F386" s="149" t="s">
        <v>1389</v>
      </c>
      <c r="G386" s="328" t="s">
        <v>24</v>
      </c>
      <c r="H386" s="327" t="s">
        <v>14</v>
      </c>
      <c r="I386" s="327" t="s">
        <v>14</v>
      </c>
    </row>
    <row r="387" spans="1:9" ht="46.8" x14ac:dyDescent="0.35">
      <c r="A387" s="149" t="s">
        <v>1238</v>
      </c>
      <c r="B387" s="327" t="s">
        <v>859</v>
      </c>
      <c r="C387" s="339" t="s">
        <v>1390</v>
      </c>
      <c r="D387" s="338">
        <v>9000</v>
      </c>
      <c r="E387" s="149" t="s">
        <v>14</v>
      </c>
      <c r="F387" s="149" t="s">
        <v>391</v>
      </c>
      <c r="G387" s="328" t="s">
        <v>18</v>
      </c>
      <c r="H387" s="333" t="s">
        <v>72</v>
      </c>
      <c r="I387" s="327" t="s">
        <v>14</v>
      </c>
    </row>
    <row r="388" spans="1:9" ht="46.8" x14ac:dyDescent="0.35">
      <c r="A388" s="149" t="s">
        <v>1238</v>
      </c>
      <c r="B388" s="327" t="s">
        <v>859</v>
      </c>
      <c r="C388" s="339" t="s">
        <v>1391</v>
      </c>
      <c r="D388" s="338">
        <v>30000</v>
      </c>
      <c r="E388" s="149" t="s">
        <v>14</v>
      </c>
      <c r="F388" s="149" t="s">
        <v>1392</v>
      </c>
      <c r="G388" s="328" t="s">
        <v>187</v>
      </c>
      <c r="H388" s="327" t="s">
        <v>14</v>
      </c>
      <c r="I388" s="327" t="s">
        <v>14</v>
      </c>
    </row>
    <row r="389" spans="1:9" ht="46.8" x14ac:dyDescent="0.35">
      <c r="A389" s="149" t="s">
        <v>1238</v>
      </c>
      <c r="B389" s="327" t="s">
        <v>859</v>
      </c>
      <c r="C389" s="339" t="s">
        <v>1393</v>
      </c>
      <c r="D389" s="338">
        <v>1100</v>
      </c>
      <c r="E389" s="149" t="s">
        <v>14</v>
      </c>
      <c r="F389" s="149" t="s">
        <v>1392</v>
      </c>
      <c r="G389" s="328" t="s">
        <v>18</v>
      </c>
      <c r="H389" s="327" t="s">
        <v>14</v>
      </c>
      <c r="I389" s="327" t="s">
        <v>14</v>
      </c>
    </row>
    <row r="390" spans="1:9" ht="78" x14ac:dyDescent="0.35">
      <c r="A390" s="149" t="s">
        <v>1238</v>
      </c>
      <c r="B390" s="327" t="s">
        <v>1394</v>
      </c>
      <c r="C390" s="339" t="s">
        <v>1395</v>
      </c>
      <c r="D390" s="338">
        <v>100000</v>
      </c>
      <c r="E390" s="149" t="s">
        <v>14</v>
      </c>
      <c r="F390" s="149" t="s">
        <v>1396</v>
      </c>
      <c r="G390" s="328" t="s">
        <v>18</v>
      </c>
      <c r="H390" s="333" t="s">
        <v>72</v>
      </c>
      <c r="I390" s="327" t="s">
        <v>14</v>
      </c>
    </row>
    <row r="391" spans="1:9" ht="46.8" x14ac:dyDescent="0.35">
      <c r="A391" s="149" t="s">
        <v>1238</v>
      </c>
      <c r="B391" s="327" t="s">
        <v>13</v>
      </c>
      <c r="C391" s="339" t="s">
        <v>1397</v>
      </c>
      <c r="D391" s="338">
        <v>3500</v>
      </c>
      <c r="E391" s="149" t="s">
        <v>14</v>
      </c>
      <c r="F391" s="149" t="s">
        <v>1398</v>
      </c>
      <c r="G391" s="328" t="s">
        <v>18</v>
      </c>
      <c r="H391" s="333" t="s">
        <v>72</v>
      </c>
      <c r="I391" s="327" t="s">
        <v>14</v>
      </c>
    </row>
    <row r="392" spans="1:9" ht="46.8" x14ac:dyDescent="0.35">
      <c r="A392" s="149" t="s">
        <v>1238</v>
      </c>
      <c r="B392" s="327" t="s">
        <v>859</v>
      </c>
      <c r="C392" s="339" t="s">
        <v>1399</v>
      </c>
      <c r="D392" s="338">
        <v>6400</v>
      </c>
      <c r="E392" s="149" t="s">
        <v>14</v>
      </c>
      <c r="F392" s="149" t="s">
        <v>1400</v>
      </c>
      <c r="G392" s="328" t="s">
        <v>18</v>
      </c>
      <c r="H392" s="327" t="s">
        <v>72</v>
      </c>
      <c r="I392" s="327" t="s">
        <v>14</v>
      </c>
    </row>
    <row r="393" spans="1:9" ht="62.4" x14ac:dyDescent="0.35">
      <c r="A393" s="149" t="s">
        <v>1238</v>
      </c>
      <c r="B393" s="149" t="s">
        <v>1401</v>
      </c>
      <c r="C393" s="258" t="s">
        <v>1402</v>
      </c>
      <c r="D393" s="338">
        <v>170000</v>
      </c>
      <c r="E393" s="149" t="s">
        <v>14</v>
      </c>
      <c r="F393" s="149" t="s">
        <v>1403</v>
      </c>
      <c r="G393" s="149" t="s">
        <v>18</v>
      </c>
      <c r="H393" s="333" t="s">
        <v>72</v>
      </c>
      <c r="I393" s="327" t="s">
        <v>14</v>
      </c>
    </row>
    <row r="394" spans="1:9" ht="62.4" x14ac:dyDescent="0.35">
      <c r="A394" s="149" t="s">
        <v>1238</v>
      </c>
      <c r="B394" s="149" t="s">
        <v>1401</v>
      </c>
      <c r="C394" s="258" t="s">
        <v>1404</v>
      </c>
      <c r="D394" s="338">
        <f>21500 +2800</f>
        <v>24300</v>
      </c>
      <c r="E394" s="149" t="s">
        <v>14</v>
      </c>
      <c r="F394" s="149" t="s">
        <v>1405</v>
      </c>
      <c r="G394" s="149" t="s">
        <v>18</v>
      </c>
      <c r="H394" s="333" t="s">
        <v>72</v>
      </c>
      <c r="I394" s="327" t="s">
        <v>14</v>
      </c>
    </row>
    <row r="395" spans="1:9" ht="46.8" x14ac:dyDescent="0.35">
      <c r="A395" s="149" t="s">
        <v>1238</v>
      </c>
      <c r="B395" s="149" t="s">
        <v>859</v>
      </c>
      <c r="C395" s="258" t="s">
        <v>1406</v>
      </c>
      <c r="D395" s="325">
        <v>138558</v>
      </c>
      <c r="E395" s="149" t="s">
        <v>14</v>
      </c>
      <c r="F395" s="149" t="s">
        <v>1252</v>
      </c>
      <c r="G395" s="328" t="s">
        <v>18</v>
      </c>
      <c r="H395" s="333" t="s">
        <v>72</v>
      </c>
      <c r="I395" s="327" t="s">
        <v>14</v>
      </c>
    </row>
    <row r="396" spans="1:9" ht="46.8" x14ac:dyDescent="0.35">
      <c r="A396" s="149" t="s">
        <v>1238</v>
      </c>
      <c r="B396" s="149" t="s">
        <v>859</v>
      </c>
      <c r="C396" s="258" t="s">
        <v>1407</v>
      </c>
      <c r="D396" s="325">
        <v>580000</v>
      </c>
      <c r="E396" s="149" t="s">
        <v>14</v>
      </c>
      <c r="F396" s="149" t="s">
        <v>1400</v>
      </c>
      <c r="G396" s="328" t="s">
        <v>18</v>
      </c>
      <c r="H396" s="333" t="s">
        <v>72</v>
      </c>
      <c r="I396" s="327" t="s">
        <v>14</v>
      </c>
    </row>
    <row r="397" spans="1:9" ht="46.8" x14ac:dyDescent="0.35">
      <c r="A397" s="149" t="s">
        <v>1238</v>
      </c>
      <c r="B397" s="149" t="s">
        <v>13</v>
      </c>
      <c r="C397" s="258" t="s">
        <v>1408</v>
      </c>
      <c r="D397" s="325">
        <v>496000</v>
      </c>
      <c r="E397" s="149" t="s">
        <v>72</v>
      </c>
      <c r="F397" s="149" t="s">
        <v>1409</v>
      </c>
      <c r="G397" s="328" t="s">
        <v>18</v>
      </c>
      <c r="H397" s="333" t="s">
        <v>72</v>
      </c>
      <c r="I397" s="327" t="s">
        <v>14</v>
      </c>
    </row>
    <row r="398" spans="1:9" ht="46.8" x14ac:dyDescent="0.35">
      <c r="A398" s="149" t="s">
        <v>1238</v>
      </c>
      <c r="B398" s="149" t="s">
        <v>13</v>
      </c>
      <c r="C398" s="258" t="s">
        <v>1410</v>
      </c>
      <c r="D398" s="325">
        <v>153600</v>
      </c>
      <c r="E398" s="149" t="s">
        <v>14</v>
      </c>
      <c r="F398" s="149" t="s">
        <v>1411</v>
      </c>
      <c r="G398" s="328" t="s">
        <v>1412</v>
      </c>
      <c r="H398" s="149" t="s">
        <v>14</v>
      </c>
      <c r="I398" s="327" t="s">
        <v>14</v>
      </c>
    </row>
    <row r="399" spans="1:9" ht="46.8" x14ac:dyDescent="0.35">
      <c r="A399" s="149" t="s">
        <v>1238</v>
      </c>
      <c r="B399" s="149" t="s">
        <v>859</v>
      </c>
      <c r="C399" s="258" t="s">
        <v>1413</v>
      </c>
      <c r="D399" s="325">
        <v>22355</v>
      </c>
      <c r="E399" s="149" t="s">
        <v>14</v>
      </c>
      <c r="F399" s="149">
        <v>50532000</v>
      </c>
      <c r="G399" s="328" t="s">
        <v>18</v>
      </c>
      <c r="H399" s="333" t="s">
        <v>72</v>
      </c>
      <c r="I399" s="327" t="s">
        <v>14</v>
      </c>
    </row>
    <row r="400" spans="1:9" ht="46.8" x14ac:dyDescent="0.35">
      <c r="A400" s="149" t="s">
        <v>1238</v>
      </c>
      <c r="B400" s="149" t="s">
        <v>859</v>
      </c>
      <c r="C400" s="258" t="s">
        <v>1414</v>
      </c>
      <c r="D400" s="325">
        <v>170000</v>
      </c>
      <c r="E400" s="149" t="s">
        <v>14</v>
      </c>
      <c r="F400" s="149" t="s">
        <v>1252</v>
      </c>
      <c r="G400" s="328" t="s">
        <v>24</v>
      </c>
      <c r="H400" s="333" t="s">
        <v>72</v>
      </c>
      <c r="I400" s="327" t="s">
        <v>14</v>
      </c>
    </row>
    <row r="401" spans="1:9" ht="46.8" x14ac:dyDescent="0.35">
      <c r="A401" s="149" t="s">
        <v>1238</v>
      </c>
      <c r="B401" s="149" t="s">
        <v>13</v>
      </c>
      <c r="C401" s="255" t="s">
        <v>1415</v>
      </c>
      <c r="D401" s="325">
        <v>950000</v>
      </c>
      <c r="E401" s="149" t="s">
        <v>14</v>
      </c>
      <c r="F401" s="149" t="s">
        <v>1416</v>
      </c>
      <c r="G401" s="328" t="s">
        <v>120</v>
      </c>
      <c r="H401" s="149" t="s">
        <v>14</v>
      </c>
      <c r="I401" s="327" t="s">
        <v>14</v>
      </c>
    </row>
    <row r="402" spans="1:9" ht="46.8" x14ac:dyDescent="0.35">
      <c r="A402" s="149" t="s">
        <v>1238</v>
      </c>
      <c r="B402" s="149" t="s">
        <v>859</v>
      </c>
      <c r="C402" s="340" t="s">
        <v>1417</v>
      </c>
      <c r="D402" s="325">
        <v>76140</v>
      </c>
      <c r="E402" s="149" t="s">
        <v>14</v>
      </c>
      <c r="F402" s="149" t="s">
        <v>1418</v>
      </c>
      <c r="G402" s="328" t="s">
        <v>18</v>
      </c>
      <c r="H402" s="333" t="s">
        <v>72</v>
      </c>
      <c r="I402" s="327" t="s">
        <v>14</v>
      </c>
    </row>
    <row r="403" spans="1:9" ht="46.8" x14ac:dyDescent="0.35">
      <c r="A403" s="149" t="s">
        <v>1238</v>
      </c>
      <c r="B403" s="149" t="s">
        <v>859</v>
      </c>
      <c r="C403" s="255" t="s">
        <v>1419</v>
      </c>
      <c r="D403" s="325">
        <v>10300</v>
      </c>
      <c r="E403" s="149" t="s">
        <v>14</v>
      </c>
      <c r="F403" s="149" t="s">
        <v>1400</v>
      </c>
      <c r="G403" s="328" t="s">
        <v>18</v>
      </c>
      <c r="H403" s="333" t="s">
        <v>72</v>
      </c>
      <c r="I403" s="327" t="s">
        <v>14</v>
      </c>
    </row>
    <row r="404" spans="1:9" ht="46.8" x14ac:dyDescent="0.35">
      <c r="A404" s="149" t="s">
        <v>1238</v>
      </c>
      <c r="B404" s="149" t="s">
        <v>859</v>
      </c>
      <c r="C404" s="258" t="s">
        <v>1420</v>
      </c>
      <c r="D404" s="325">
        <v>94058</v>
      </c>
      <c r="E404" s="149" t="s">
        <v>72</v>
      </c>
      <c r="F404" s="149" t="s">
        <v>1400</v>
      </c>
      <c r="G404" s="328" t="s">
        <v>18</v>
      </c>
      <c r="H404" s="333" t="s">
        <v>72</v>
      </c>
      <c r="I404" s="327" t="s">
        <v>14</v>
      </c>
    </row>
    <row r="405" spans="1:9" ht="46.8" x14ac:dyDescent="0.35">
      <c r="A405" s="149" t="s">
        <v>1238</v>
      </c>
      <c r="B405" s="149" t="s">
        <v>859</v>
      </c>
      <c r="C405" s="258" t="s">
        <v>1421</v>
      </c>
      <c r="D405" s="325">
        <v>25553</v>
      </c>
      <c r="E405" s="149" t="s">
        <v>14</v>
      </c>
      <c r="F405" s="149" t="s">
        <v>1400</v>
      </c>
      <c r="G405" s="328" t="s">
        <v>18</v>
      </c>
      <c r="H405" s="333" t="s">
        <v>72</v>
      </c>
      <c r="I405" s="327" t="s">
        <v>14</v>
      </c>
    </row>
    <row r="406" spans="1:9" ht="62.4" x14ac:dyDescent="0.35">
      <c r="A406" s="149" t="s">
        <v>1238</v>
      </c>
      <c r="B406" s="149" t="s">
        <v>859</v>
      </c>
      <c r="C406" s="258" t="s">
        <v>1422</v>
      </c>
      <c r="D406" s="325">
        <v>139420</v>
      </c>
      <c r="E406" s="149" t="s">
        <v>72</v>
      </c>
      <c r="F406" s="149" t="s">
        <v>1423</v>
      </c>
      <c r="G406" s="328" t="s">
        <v>18</v>
      </c>
      <c r="H406" s="333" t="s">
        <v>72</v>
      </c>
      <c r="I406" s="327" t="s">
        <v>14</v>
      </c>
    </row>
    <row r="407" spans="1:9" ht="62.4" x14ac:dyDescent="0.35">
      <c r="A407" s="149" t="s">
        <v>1238</v>
      </c>
      <c r="B407" s="149" t="s">
        <v>859</v>
      </c>
      <c r="C407" s="258" t="s">
        <v>1424</v>
      </c>
      <c r="D407" s="325">
        <v>71100</v>
      </c>
      <c r="E407" s="149" t="s">
        <v>14</v>
      </c>
      <c r="F407" s="149" t="s">
        <v>1425</v>
      </c>
      <c r="G407" s="328" t="s">
        <v>18</v>
      </c>
      <c r="H407" s="333" t="s">
        <v>72</v>
      </c>
      <c r="I407" s="327" t="s">
        <v>14</v>
      </c>
    </row>
    <row r="408" spans="1:9" ht="46.8" x14ac:dyDescent="0.35">
      <c r="A408" s="149" t="s">
        <v>1238</v>
      </c>
      <c r="B408" s="149" t="s">
        <v>859</v>
      </c>
      <c r="C408" s="258" t="s">
        <v>1426</v>
      </c>
      <c r="D408" s="325">
        <v>350000</v>
      </c>
      <c r="E408" s="149" t="s">
        <v>72</v>
      </c>
      <c r="F408" s="149" t="s">
        <v>1400</v>
      </c>
      <c r="G408" s="328" t="s">
        <v>18</v>
      </c>
      <c r="H408" s="333" t="s">
        <v>72</v>
      </c>
      <c r="I408" s="327" t="s">
        <v>14</v>
      </c>
    </row>
    <row r="409" spans="1:9" ht="46.8" x14ac:dyDescent="0.35">
      <c r="A409" s="149" t="s">
        <v>1238</v>
      </c>
      <c r="B409" s="149" t="s">
        <v>859</v>
      </c>
      <c r="C409" s="258" t="s">
        <v>1427</v>
      </c>
      <c r="D409" s="325">
        <v>2500</v>
      </c>
      <c r="E409" s="149" t="s">
        <v>14</v>
      </c>
      <c r="F409" s="149" t="s">
        <v>1428</v>
      </c>
      <c r="G409" s="328" t="s">
        <v>18</v>
      </c>
      <c r="H409" s="149" t="s">
        <v>14</v>
      </c>
      <c r="I409" s="327" t="s">
        <v>14</v>
      </c>
    </row>
    <row r="410" spans="1:9" ht="46.8" x14ac:dyDescent="0.35">
      <c r="A410" s="149" t="s">
        <v>1238</v>
      </c>
      <c r="B410" s="149" t="s">
        <v>859</v>
      </c>
      <c r="C410" s="258" t="s">
        <v>1429</v>
      </c>
      <c r="D410" s="325">
        <v>20160</v>
      </c>
      <c r="E410" s="149" t="s">
        <v>14</v>
      </c>
      <c r="F410" s="149" t="s">
        <v>1400</v>
      </c>
      <c r="G410" s="328" t="s">
        <v>18</v>
      </c>
      <c r="H410" s="333" t="s">
        <v>72</v>
      </c>
      <c r="I410" s="327" t="s">
        <v>14</v>
      </c>
    </row>
    <row r="411" spans="1:9" ht="46.8" x14ac:dyDescent="0.35">
      <c r="A411" s="149" t="s">
        <v>1238</v>
      </c>
      <c r="B411" s="149" t="s">
        <v>859</v>
      </c>
      <c r="C411" s="258" t="s">
        <v>1430</v>
      </c>
      <c r="D411" s="325">
        <v>50000</v>
      </c>
      <c r="E411" s="149" t="s">
        <v>14</v>
      </c>
      <c r="F411" s="149" t="s">
        <v>1400</v>
      </c>
      <c r="G411" s="328" t="s">
        <v>18</v>
      </c>
      <c r="H411" s="333" t="s">
        <v>72</v>
      </c>
      <c r="I411" s="327" t="s">
        <v>14</v>
      </c>
    </row>
    <row r="412" spans="1:9" ht="46.8" x14ac:dyDescent="0.35">
      <c r="A412" s="149" t="s">
        <v>1238</v>
      </c>
      <c r="B412" s="149" t="s">
        <v>859</v>
      </c>
      <c r="C412" s="258" t="s">
        <v>1431</v>
      </c>
      <c r="D412" s="325">
        <v>850000</v>
      </c>
      <c r="E412" s="149" t="s">
        <v>72</v>
      </c>
      <c r="F412" s="149" t="s">
        <v>1432</v>
      </c>
      <c r="G412" s="327" t="s">
        <v>24</v>
      </c>
      <c r="H412" s="333" t="s">
        <v>72</v>
      </c>
      <c r="I412" s="149" t="s">
        <v>72</v>
      </c>
    </row>
    <row r="413" spans="1:9" ht="46.8" x14ac:dyDescent="0.35">
      <c r="A413" s="149" t="s">
        <v>1238</v>
      </c>
      <c r="B413" s="149" t="s">
        <v>13</v>
      </c>
      <c r="C413" s="258" t="s">
        <v>1433</v>
      </c>
      <c r="D413" s="325">
        <v>450000</v>
      </c>
      <c r="E413" s="149" t="s">
        <v>72</v>
      </c>
      <c r="F413" s="149" t="s">
        <v>1434</v>
      </c>
      <c r="G413" s="328" t="s">
        <v>18</v>
      </c>
      <c r="H413" s="149" t="s">
        <v>14</v>
      </c>
      <c r="I413" s="327" t="s">
        <v>14</v>
      </c>
    </row>
    <row r="414" spans="1:9" ht="46.8" x14ac:dyDescent="0.35">
      <c r="A414" s="149" t="s">
        <v>1238</v>
      </c>
      <c r="B414" s="149" t="s">
        <v>859</v>
      </c>
      <c r="C414" s="258" t="s">
        <v>1435</v>
      </c>
      <c r="D414" s="325">
        <v>35000</v>
      </c>
      <c r="E414" s="149" t="s">
        <v>14</v>
      </c>
      <c r="F414" s="149" t="s">
        <v>1436</v>
      </c>
      <c r="G414" s="328" t="s">
        <v>18</v>
      </c>
      <c r="H414" s="333" t="s">
        <v>72</v>
      </c>
      <c r="I414" s="327" t="s">
        <v>14</v>
      </c>
    </row>
    <row r="415" spans="1:9" ht="46.8" x14ac:dyDescent="0.35">
      <c r="A415" s="149" t="s">
        <v>1238</v>
      </c>
      <c r="B415" s="149" t="s">
        <v>859</v>
      </c>
      <c r="C415" s="258" t="s">
        <v>1437</v>
      </c>
      <c r="D415" s="325">
        <v>34000</v>
      </c>
      <c r="E415" s="149" t="s">
        <v>14</v>
      </c>
      <c r="F415" s="149" t="s">
        <v>1438</v>
      </c>
      <c r="G415" s="328" t="s">
        <v>18</v>
      </c>
      <c r="H415" s="333" t="s">
        <v>72</v>
      </c>
      <c r="I415" s="327" t="s">
        <v>14</v>
      </c>
    </row>
    <row r="416" spans="1:9" ht="46.8" x14ac:dyDescent="0.35">
      <c r="A416" s="149" t="s">
        <v>1238</v>
      </c>
      <c r="B416" s="149" t="s">
        <v>859</v>
      </c>
      <c r="C416" s="258" t="s">
        <v>1439</v>
      </c>
      <c r="D416" s="325">
        <v>180000</v>
      </c>
      <c r="E416" s="149" t="s">
        <v>72</v>
      </c>
      <c r="F416" s="149" t="s">
        <v>1440</v>
      </c>
      <c r="G416" s="328" t="s">
        <v>18</v>
      </c>
      <c r="H416" s="333" t="s">
        <v>72</v>
      </c>
      <c r="I416" s="327" t="s">
        <v>14</v>
      </c>
    </row>
    <row r="417" spans="1:9" ht="46.8" x14ac:dyDescent="0.35">
      <c r="A417" s="149" t="s">
        <v>1238</v>
      </c>
      <c r="B417" s="149" t="s">
        <v>859</v>
      </c>
      <c r="C417" s="258" t="s">
        <v>1441</v>
      </c>
      <c r="D417" s="325">
        <v>260000</v>
      </c>
      <c r="E417" s="149" t="s">
        <v>72</v>
      </c>
      <c r="F417" s="149" t="s">
        <v>1442</v>
      </c>
      <c r="G417" s="149" t="s">
        <v>18</v>
      </c>
      <c r="H417" s="333" t="s">
        <v>72</v>
      </c>
      <c r="I417" s="327" t="s">
        <v>14</v>
      </c>
    </row>
    <row r="418" spans="1:9" ht="46.8" x14ac:dyDescent="0.35">
      <c r="A418" s="149" t="s">
        <v>1238</v>
      </c>
      <c r="B418" s="149" t="s">
        <v>859</v>
      </c>
      <c r="C418" s="258" t="s">
        <v>1443</v>
      </c>
      <c r="D418" s="325">
        <v>20880</v>
      </c>
      <c r="E418" s="149" t="s">
        <v>14</v>
      </c>
      <c r="F418" s="149" t="s">
        <v>1438</v>
      </c>
      <c r="G418" s="327" t="s">
        <v>24</v>
      </c>
      <c r="H418" s="333" t="s">
        <v>72</v>
      </c>
      <c r="I418" s="327" t="s">
        <v>14</v>
      </c>
    </row>
    <row r="419" spans="1:9" ht="46.8" x14ac:dyDescent="0.35">
      <c r="A419" s="149" t="s">
        <v>1238</v>
      </c>
      <c r="B419" s="149" t="s">
        <v>859</v>
      </c>
      <c r="C419" s="258" t="s">
        <v>1444</v>
      </c>
      <c r="D419" s="325">
        <v>5000</v>
      </c>
      <c r="E419" s="149" t="s">
        <v>14</v>
      </c>
      <c r="F419" s="149" t="s">
        <v>1438</v>
      </c>
      <c r="G419" s="149" t="s">
        <v>18</v>
      </c>
      <c r="H419" s="333" t="s">
        <v>72</v>
      </c>
      <c r="I419" s="327" t="s">
        <v>14</v>
      </c>
    </row>
    <row r="420" spans="1:9" ht="46.8" x14ac:dyDescent="0.35">
      <c r="A420" s="149" t="s">
        <v>1238</v>
      </c>
      <c r="B420" s="149" t="s">
        <v>859</v>
      </c>
      <c r="C420" s="258" t="s">
        <v>1445</v>
      </c>
      <c r="D420" s="325">
        <v>400000</v>
      </c>
      <c r="E420" s="149" t="s">
        <v>72</v>
      </c>
      <c r="F420" s="149" t="s">
        <v>1446</v>
      </c>
      <c r="G420" s="149" t="s">
        <v>18</v>
      </c>
      <c r="H420" s="333" t="s">
        <v>72</v>
      </c>
      <c r="I420" s="327" t="s">
        <v>14</v>
      </c>
    </row>
    <row r="421" spans="1:9" ht="46.8" x14ac:dyDescent="0.35">
      <c r="A421" s="149" t="s">
        <v>1238</v>
      </c>
      <c r="B421" s="149" t="s">
        <v>859</v>
      </c>
      <c r="C421" s="258" t="s">
        <v>1447</v>
      </c>
      <c r="D421" s="325">
        <v>80000</v>
      </c>
      <c r="E421" s="149" t="s">
        <v>14</v>
      </c>
      <c r="F421" s="149" t="s">
        <v>1448</v>
      </c>
      <c r="G421" s="149" t="s">
        <v>18</v>
      </c>
      <c r="H421" s="333" t="s">
        <v>72</v>
      </c>
      <c r="I421" s="327" t="s">
        <v>14</v>
      </c>
    </row>
    <row r="422" spans="1:9" ht="46.8" x14ac:dyDescent="0.35">
      <c r="A422" s="149" t="s">
        <v>1238</v>
      </c>
      <c r="B422" s="149" t="s">
        <v>859</v>
      </c>
      <c r="C422" s="329" t="s">
        <v>1449</v>
      </c>
      <c r="D422" s="325">
        <v>60000</v>
      </c>
      <c r="E422" s="149" t="s">
        <v>14</v>
      </c>
      <c r="F422" s="149" t="s">
        <v>1450</v>
      </c>
      <c r="G422" s="149" t="s">
        <v>18</v>
      </c>
      <c r="H422" s="333" t="s">
        <v>72</v>
      </c>
      <c r="I422" s="327" t="s">
        <v>14</v>
      </c>
    </row>
    <row r="423" spans="1:9" ht="46.8" x14ac:dyDescent="0.35">
      <c r="A423" s="149" t="s">
        <v>1238</v>
      </c>
      <c r="B423" s="330" t="s">
        <v>859</v>
      </c>
      <c r="C423" s="331" t="s">
        <v>1451</v>
      </c>
      <c r="D423" s="341">
        <v>200000</v>
      </c>
      <c r="E423" s="149" t="s">
        <v>14</v>
      </c>
      <c r="F423" s="149" t="s">
        <v>1452</v>
      </c>
      <c r="G423" s="327" t="s">
        <v>24</v>
      </c>
      <c r="H423" s="333" t="s">
        <v>72</v>
      </c>
      <c r="I423" s="327" t="s">
        <v>14</v>
      </c>
    </row>
    <row r="424" spans="1:9" ht="46.8" x14ac:dyDescent="0.35">
      <c r="A424" s="149" t="s">
        <v>1238</v>
      </c>
      <c r="B424" s="330" t="s">
        <v>859</v>
      </c>
      <c r="C424" s="331" t="s">
        <v>1453</v>
      </c>
      <c r="D424" s="341">
        <v>600000</v>
      </c>
      <c r="E424" s="327" t="s">
        <v>14</v>
      </c>
      <c r="F424" s="149" t="s">
        <v>1454</v>
      </c>
      <c r="G424" s="327" t="s">
        <v>24</v>
      </c>
      <c r="H424" s="333" t="s">
        <v>72</v>
      </c>
      <c r="I424" s="327" t="s">
        <v>14</v>
      </c>
    </row>
    <row r="425" spans="1:9" ht="46.8" x14ac:dyDescent="0.35">
      <c r="A425" s="149" t="s">
        <v>1238</v>
      </c>
      <c r="B425" s="330" t="s">
        <v>859</v>
      </c>
      <c r="C425" s="331" t="s">
        <v>1455</v>
      </c>
      <c r="D425" s="341">
        <v>194976</v>
      </c>
      <c r="E425" s="327" t="s">
        <v>14</v>
      </c>
      <c r="F425" s="149" t="s">
        <v>1456</v>
      </c>
      <c r="G425" s="327" t="s">
        <v>24</v>
      </c>
      <c r="H425" s="333" t="s">
        <v>72</v>
      </c>
      <c r="I425" s="327" t="s">
        <v>14</v>
      </c>
    </row>
    <row r="426" spans="1:9" ht="46.8" x14ac:dyDescent="0.35">
      <c r="A426" s="149" t="s">
        <v>1238</v>
      </c>
      <c r="B426" s="330" t="s">
        <v>13</v>
      </c>
      <c r="C426" s="331" t="s">
        <v>1457</v>
      </c>
      <c r="D426" s="341">
        <v>172800</v>
      </c>
      <c r="E426" s="327" t="s">
        <v>14</v>
      </c>
      <c r="F426" s="149">
        <v>18800000</v>
      </c>
      <c r="G426" s="327" t="s">
        <v>24</v>
      </c>
      <c r="H426" s="333" t="s">
        <v>72</v>
      </c>
      <c r="I426" s="327" t="s">
        <v>14</v>
      </c>
    </row>
    <row r="427" spans="1:9" ht="46.8" x14ac:dyDescent="0.35">
      <c r="A427" s="149" t="s">
        <v>1238</v>
      </c>
      <c r="B427" s="330" t="s">
        <v>13</v>
      </c>
      <c r="C427" s="331" t="s">
        <v>1458</v>
      </c>
      <c r="D427" s="341">
        <v>377757.69</v>
      </c>
      <c r="E427" s="327" t="s">
        <v>14</v>
      </c>
      <c r="F427" s="149" t="s">
        <v>1459</v>
      </c>
      <c r="G427" s="327" t="s">
        <v>24</v>
      </c>
      <c r="H427" s="333" t="s">
        <v>72</v>
      </c>
      <c r="I427" s="327" t="s">
        <v>14</v>
      </c>
    </row>
    <row r="428" spans="1:9" ht="46.8" x14ac:dyDescent="0.35">
      <c r="A428" s="149" t="s">
        <v>1238</v>
      </c>
      <c r="B428" s="330" t="s">
        <v>859</v>
      </c>
      <c r="C428" s="342" t="s">
        <v>1460</v>
      </c>
      <c r="D428" s="341">
        <v>60480</v>
      </c>
      <c r="E428" s="327" t="s">
        <v>72</v>
      </c>
      <c r="F428" s="149" t="s">
        <v>1452</v>
      </c>
      <c r="G428" s="343" t="s">
        <v>120</v>
      </c>
      <c r="H428" s="327" t="s">
        <v>14</v>
      </c>
      <c r="I428" s="327" t="s">
        <v>14</v>
      </c>
    </row>
    <row r="429" spans="1:9" ht="46.8" x14ac:dyDescent="0.35">
      <c r="A429" s="149" t="s">
        <v>1238</v>
      </c>
      <c r="B429" s="330" t="s">
        <v>859</v>
      </c>
      <c r="C429" s="342" t="s">
        <v>1461</v>
      </c>
      <c r="D429" s="341">
        <v>33707.4</v>
      </c>
      <c r="E429" s="327" t="s">
        <v>72</v>
      </c>
      <c r="F429" s="149"/>
      <c r="G429" s="327" t="s">
        <v>120</v>
      </c>
      <c r="H429" s="327" t="s">
        <v>14</v>
      </c>
      <c r="I429" s="327" t="s">
        <v>14</v>
      </c>
    </row>
    <row r="430" spans="1:9" ht="46.8" x14ac:dyDescent="0.35">
      <c r="A430" s="149" t="s">
        <v>1238</v>
      </c>
      <c r="B430" s="330" t="s">
        <v>859</v>
      </c>
      <c r="C430" s="331" t="s">
        <v>1462</v>
      </c>
      <c r="D430" s="341">
        <v>48000</v>
      </c>
      <c r="E430" s="327" t="s">
        <v>14</v>
      </c>
      <c r="F430" s="149" t="s">
        <v>1463</v>
      </c>
      <c r="G430" s="149" t="s">
        <v>18</v>
      </c>
      <c r="H430" s="333" t="s">
        <v>72</v>
      </c>
      <c r="I430" s="327" t="s">
        <v>14</v>
      </c>
    </row>
    <row r="431" spans="1:9" ht="46.8" x14ac:dyDescent="0.35">
      <c r="A431" s="149" t="s">
        <v>1238</v>
      </c>
      <c r="B431" s="330" t="s">
        <v>859</v>
      </c>
      <c r="C431" s="331" t="s">
        <v>1464</v>
      </c>
      <c r="D431" s="341">
        <v>28000</v>
      </c>
      <c r="E431" s="327" t="s">
        <v>14</v>
      </c>
      <c r="F431" s="149" t="s">
        <v>1465</v>
      </c>
      <c r="G431" s="327" t="s">
        <v>24</v>
      </c>
      <c r="H431" s="333" t="s">
        <v>72</v>
      </c>
      <c r="I431" s="327" t="s">
        <v>14</v>
      </c>
    </row>
    <row r="432" spans="1:9" ht="46.8" x14ac:dyDescent="0.35">
      <c r="A432" s="149" t="s">
        <v>1238</v>
      </c>
      <c r="B432" s="330" t="s">
        <v>859</v>
      </c>
      <c r="C432" s="331" t="s">
        <v>1466</v>
      </c>
      <c r="D432" s="341">
        <v>2976</v>
      </c>
      <c r="E432" s="327" t="s">
        <v>14</v>
      </c>
      <c r="F432" s="149" t="s">
        <v>1467</v>
      </c>
      <c r="G432" s="149" t="s">
        <v>18</v>
      </c>
      <c r="H432" s="333" t="s">
        <v>72</v>
      </c>
      <c r="I432" s="327" t="s">
        <v>14</v>
      </c>
    </row>
    <row r="433" spans="1:9" ht="46.8" x14ac:dyDescent="0.35">
      <c r="A433" s="149" t="s">
        <v>1238</v>
      </c>
      <c r="B433" s="330" t="s">
        <v>859</v>
      </c>
      <c r="C433" s="331" t="s">
        <v>1468</v>
      </c>
      <c r="D433" s="341">
        <v>20000</v>
      </c>
      <c r="E433" s="327" t="s">
        <v>14</v>
      </c>
      <c r="F433" s="149" t="s">
        <v>1469</v>
      </c>
      <c r="G433" s="327" t="s">
        <v>24</v>
      </c>
      <c r="H433" s="333" t="s">
        <v>72</v>
      </c>
      <c r="I433" s="327" t="s">
        <v>14</v>
      </c>
    </row>
    <row r="434" spans="1:9" ht="46.8" x14ac:dyDescent="0.35">
      <c r="A434" s="149" t="s">
        <v>1238</v>
      </c>
      <c r="B434" s="330" t="s">
        <v>13</v>
      </c>
      <c r="C434" s="331" t="s">
        <v>1470</v>
      </c>
      <c r="D434" s="341">
        <v>13964</v>
      </c>
      <c r="E434" s="327" t="s">
        <v>14</v>
      </c>
      <c r="F434" s="149">
        <v>33000000</v>
      </c>
      <c r="G434" s="327" t="s">
        <v>24</v>
      </c>
      <c r="H434" s="333" t="s">
        <v>72</v>
      </c>
      <c r="I434" s="327" t="s">
        <v>14</v>
      </c>
    </row>
    <row r="435" spans="1:9" ht="46.8" x14ac:dyDescent="0.35">
      <c r="A435" s="149" t="s">
        <v>1238</v>
      </c>
      <c r="B435" s="330" t="s">
        <v>859</v>
      </c>
      <c r="C435" s="331" t="s">
        <v>1471</v>
      </c>
      <c r="D435" s="341">
        <v>2592</v>
      </c>
      <c r="E435" s="327" t="s">
        <v>14</v>
      </c>
      <c r="F435" s="149" t="s">
        <v>1472</v>
      </c>
      <c r="G435" s="149" t="s">
        <v>18</v>
      </c>
      <c r="H435" s="333" t="s">
        <v>72</v>
      </c>
      <c r="I435" s="327" t="s">
        <v>14</v>
      </c>
    </row>
    <row r="436" spans="1:9" ht="46.8" x14ac:dyDescent="0.35">
      <c r="A436" s="149" t="s">
        <v>1238</v>
      </c>
      <c r="B436" s="330" t="s">
        <v>859</v>
      </c>
      <c r="C436" s="331" t="s">
        <v>1473</v>
      </c>
      <c r="D436" s="341">
        <v>10534</v>
      </c>
      <c r="E436" s="327" t="s">
        <v>14</v>
      </c>
      <c r="F436" s="149" t="s">
        <v>1474</v>
      </c>
      <c r="G436" s="149" t="s">
        <v>18</v>
      </c>
      <c r="H436" s="333" t="s">
        <v>72</v>
      </c>
      <c r="I436" s="327" t="s">
        <v>14</v>
      </c>
    </row>
    <row r="437" spans="1:9" ht="46.8" x14ac:dyDescent="0.35">
      <c r="A437" s="149" t="s">
        <v>1238</v>
      </c>
      <c r="B437" s="330" t="s">
        <v>859</v>
      </c>
      <c r="C437" s="331" t="s">
        <v>1475</v>
      </c>
      <c r="D437" s="341">
        <v>40000</v>
      </c>
      <c r="E437" s="327" t="s">
        <v>14</v>
      </c>
      <c r="F437" s="149" t="s">
        <v>1476</v>
      </c>
      <c r="G437" s="327" t="s">
        <v>24</v>
      </c>
      <c r="H437" s="333" t="s">
        <v>72</v>
      </c>
      <c r="I437" s="327" t="s">
        <v>14</v>
      </c>
    </row>
    <row r="438" spans="1:9" ht="46.8" x14ac:dyDescent="0.35">
      <c r="A438" s="149" t="s">
        <v>1238</v>
      </c>
      <c r="B438" s="330" t="s">
        <v>859</v>
      </c>
      <c r="C438" s="331" t="s">
        <v>1477</v>
      </c>
      <c r="D438" s="341">
        <v>52721.04</v>
      </c>
      <c r="E438" s="327" t="s">
        <v>14</v>
      </c>
      <c r="F438" s="149" t="s">
        <v>1478</v>
      </c>
      <c r="G438" s="327" t="s">
        <v>24</v>
      </c>
      <c r="H438" s="333" t="s">
        <v>72</v>
      </c>
      <c r="I438" s="327" t="s">
        <v>14</v>
      </c>
    </row>
    <row r="439" spans="1:9" ht="46.8" x14ac:dyDescent="0.35">
      <c r="A439" s="149" t="s">
        <v>1238</v>
      </c>
      <c r="B439" s="330" t="s">
        <v>859</v>
      </c>
      <c r="C439" s="331" t="s">
        <v>1479</v>
      </c>
      <c r="D439" s="341">
        <v>168793</v>
      </c>
      <c r="E439" s="327" t="s">
        <v>72</v>
      </c>
      <c r="F439" s="149">
        <v>85100000</v>
      </c>
      <c r="G439" s="149" t="s">
        <v>18</v>
      </c>
      <c r="H439" s="333" t="s">
        <v>72</v>
      </c>
      <c r="I439" s="327" t="s">
        <v>14</v>
      </c>
    </row>
    <row r="440" spans="1:9" ht="46.8" x14ac:dyDescent="0.35">
      <c r="A440" s="149" t="s">
        <v>1238</v>
      </c>
      <c r="B440" s="330" t="s">
        <v>859</v>
      </c>
      <c r="C440" s="331" t="s">
        <v>1480</v>
      </c>
      <c r="D440" s="332">
        <v>112000</v>
      </c>
      <c r="E440" s="327" t="s">
        <v>14</v>
      </c>
      <c r="F440" s="149" t="s">
        <v>1481</v>
      </c>
      <c r="G440" s="327" t="s">
        <v>18</v>
      </c>
      <c r="H440" s="333" t="s">
        <v>72</v>
      </c>
      <c r="I440" s="327" t="s">
        <v>14</v>
      </c>
    </row>
    <row r="441" spans="1:9" ht="46.8" x14ac:dyDescent="0.35">
      <c r="A441" s="149" t="s">
        <v>1238</v>
      </c>
      <c r="B441" s="330" t="s">
        <v>859</v>
      </c>
      <c r="C441" s="331" t="s">
        <v>1482</v>
      </c>
      <c r="D441" s="332">
        <v>4111600.59</v>
      </c>
      <c r="E441" s="327" t="s">
        <v>14</v>
      </c>
      <c r="F441" s="149" t="s">
        <v>137</v>
      </c>
      <c r="G441" s="327" t="s">
        <v>24</v>
      </c>
      <c r="H441" s="333" t="s">
        <v>72</v>
      </c>
      <c r="I441" s="327" t="s">
        <v>14</v>
      </c>
    </row>
    <row r="442" spans="1:9" x14ac:dyDescent="0.35">
      <c r="A442" s="263"/>
      <c r="B442" s="263"/>
      <c r="C442" s="344"/>
      <c r="D442" s="345"/>
      <c r="E442" s="346"/>
      <c r="F442" s="263"/>
      <c r="G442" s="346"/>
      <c r="H442" s="347"/>
      <c r="I442" s="346"/>
    </row>
    <row r="443" spans="1:9" x14ac:dyDescent="0.35">
      <c r="A443" s="263"/>
      <c r="B443" s="263"/>
      <c r="C443" s="344"/>
      <c r="D443" s="345"/>
      <c r="E443" s="346"/>
      <c r="F443" s="263"/>
      <c r="G443" s="346"/>
      <c r="H443" s="347"/>
      <c r="I443" s="346"/>
    </row>
    <row r="444" spans="1:9" x14ac:dyDescent="0.35">
      <c r="A444" s="263"/>
      <c r="B444" s="263"/>
      <c r="C444" s="344"/>
      <c r="D444" s="345"/>
      <c r="E444" s="346"/>
      <c r="F444" s="263"/>
      <c r="G444" s="346"/>
      <c r="H444" s="347"/>
      <c r="I444" s="346"/>
    </row>
    <row r="445" spans="1:9" x14ac:dyDescent="0.35">
      <c r="A445" s="263"/>
      <c r="B445" s="263"/>
      <c r="C445" s="344"/>
      <c r="D445" s="345"/>
      <c r="E445" s="346"/>
      <c r="F445" s="263"/>
      <c r="G445" s="346"/>
      <c r="H445" s="347"/>
      <c r="I445" s="346"/>
    </row>
    <row r="446" spans="1:9" x14ac:dyDescent="0.35">
      <c r="A446" s="263"/>
      <c r="B446" s="263"/>
      <c r="C446" s="344"/>
      <c r="D446" s="345"/>
      <c r="E446" s="346"/>
      <c r="F446" s="263"/>
      <c r="G446" s="346"/>
      <c r="H446" s="347"/>
      <c r="I446" s="346"/>
    </row>
    <row r="447" spans="1:9" ht="25.2" customHeight="1" x14ac:dyDescent="0.35">
      <c r="A447" s="268" t="s">
        <v>1483</v>
      </c>
      <c r="B447" s="268"/>
      <c r="C447" s="268"/>
      <c r="D447" s="268"/>
      <c r="E447" s="268"/>
      <c r="F447" s="268"/>
      <c r="G447" s="268"/>
      <c r="H447" s="268"/>
      <c r="I447" s="268"/>
    </row>
    <row r="448" spans="1:9" x14ac:dyDescent="0.35">
      <c r="E448" s="31"/>
      <c r="F448" s="311"/>
      <c r="G448" s="311"/>
      <c r="I448" s="312"/>
    </row>
    <row r="449" spans="1:9" ht="21" customHeight="1" x14ac:dyDescent="0.35">
      <c r="A449" s="254" t="s">
        <v>857</v>
      </c>
      <c r="B449" s="321" t="s">
        <v>2</v>
      </c>
      <c r="C449" s="321" t="s">
        <v>4</v>
      </c>
      <c r="D449" s="321" t="s">
        <v>5</v>
      </c>
      <c r="E449" s="321" t="s">
        <v>6</v>
      </c>
      <c r="F449" s="322" t="s">
        <v>8</v>
      </c>
      <c r="G449" s="322" t="s">
        <v>9</v>
      </c>
      <c r="H449" s="321" t="s">
        <v>10</v>
      </c>
      <c r="I449" s="254" t="s">
        <v>11</v>
      </c>
    </row>
    <row r="450" spans="1:9" ht="33" customHeight="1" x14ac:dyDescent="0.35">
      <c r="A450" s="254"/>
      <c r="B450" s="321"/>
      <c r="C450" s="323"/>
      <c r="D450" s="321"/>
      <c r="E450" s="321"/>
      <c r="F450" s="322"/>
      <c r="G450" s="322"/>
      <c r="H450" s="321"/>
      <c r="I450" s="254"/>
    </row>
    <row r="451" spans="1:9" ht="46.8" x14ac:dyDescent="0.35">
      <c r="A451" s="23" t="s">
        <v>1484</v>
      </c>
      <c r="B451" s="308" t="s">
        <v>135</v>
      </c>
      <c r="C451" s="293" t="s">
        <v>1485</v>
      </c>
      <c r="D451" s="348">
        <v>600000</v>
      </c>
      <c r="E451" s="23" t="s">
        <v>14</v>
      </c>
      <c r="F451" s="26" t="s">
        <v>1486</v>
      </c>
      <c r="G451" s="26" t="s">
        <v>193</v>
      </c>
      <c r="H451" s="23" t="s">
        <v>72</v>
      </c>
      <c r="I451" s="23" t="s">
        <v>14</v>
      </c>
    </row>
    <row r="452" spans="1:9" ht="46.8" x14ac:dyDescent="0.35">
      <c r="A452" s="23" t="s">
        <v>1484</v>
      </c>
      <c r="B452" s="308" t="s">
        <v>859</v>
      </c>
      <c r="C452" s="293" t="s">
        <v>1487</v>
      </c>
      <c r="D452" s="348">
        <v>600000</v>
      </c>
      <c r="E452" s="23" t="s">
        <v>14</v>
      </c>
      <c r="F452" s="26" t="s">
        <v>1488</v>
      </c>
      <c r="G452" s="26" t="s">
        <v>193</v>
      </c>
      <c r="H452" s="23" t="s">
        <v>72</v>
      </c>
      <c r="I452" s="23" t="s">
        <v>14</v>
      </c>
    </row>
    <row r="453" spans="1:9" ht="46.8" x14ac:dyDescent="0.35">
      <c r="A453" s="23" t="s">
        <v>1484</v>
      </c>
      <c r="B453" s="308" t="s">
        <v>13</v>
      </c>
      <c r="C453" s="293" t="s">
        <v>1489</v>
      </c>
      <c r="D453" s="348">
        <v>242168.14</v>
      </c>
      <c r="E453" s="23" t="s">
        <v>72</v>
      </c>
      <c r="F453" s="23" t="s">
        <v>1490</v>
      </c>
      <c r="G453" s="23" t="s">
        <v>193</v>
      </c>
      <c r="H453" s="23" t="s">
        <v>72</v>
      </c>
      <c r="I453" s="23" t="s">
        <v>14</v>
      </c>
    </row>
    <row r="454" spans="1:9" ht="46.8" x14ac:dyDescent="0.35">
      <c r="A454" s="23" t="s">
        <v>1484</v>
      </c>
      <c r="B454" s="308" t="s">
        <v>13</v>
      </c>
      <c r="C454" s="293" t="s">
        <v>1491</v>
      </c>
      <c r="D454" s="348">
        <v>10823464</v>
      </c>
      <c r="E454" s="23" t="s">
        <v>14</v>
      </c>
      <c r="F454" s="23">
        <v>9100000</v>
      </c>
      <c r="G454" s="23" t="s">
        <v>193</v>
      </c>
      <c r="H454" s="23" t="s">
        <v>72</v>
      </c>
      <c r="I454" s="23" t="s">
        <v>14</v>
      </c>
    </row>
    <row r="455" spans="1:9" ht="46.8" x14ac:dyDescent="0.35">
      <c r="A455" s="23" t="s">
        <v>1484</v>
      </c>
      <c r="B455" s="308" t="s">
        <v>13</v>
      </c>
      <c r="C455" s="293" t="s">
        <v>1492</v>
      </c>
      <c r="D455" s="348">
        <v>140000</v>
      </c>
      <c r="E455" s="23" t="s">
        <v>14</v>
      </c>
      <c r="F455" s="23" t="s">
        <v>1493</v>
      </c>
      <c r="G455" s="23" t="s">
        <v>193</v>
      </c>
      <c r="H455" s="23" t="s">
        <v>72</v>
      </c>
      <c r="I455" s="23" t="s">
        <v>14</v>
      </c>
    </row>
    <row r="456" spans="1:9" ht="46.8" x14ac:dyDescent="0.35">
      <c r="A456" s="23" t="s">
        <v>1484</v>
      </c>
      <c r="B456" s="308" t="s">
        <v>13</v>
      </c>
      <c r="C456" s="293" t="s">
        <v>1494</v>
      </c>
      <c r="D456" s="348">
        <v>10500000</v>
      </c>
      <c r="E456" s="23" t="s">
        <v>14</v>
      </c>
      <c r="F456" s="23">
        <v>34330000</v>
      </c>
      <c r="G456" s="23" t="s">
        <v>193</v>
      </c>
      <c r="H456" s="23" t="s">
        <v>72</v>
      </c>
      <c r="I456" s="23" t="s">
        <v>14</v>
      </c>
    </row>
    <row r="457" spans="1:9" ht="46.8" x14ac:dyDescent="0.35">
      <c r="A457" s="23" t="s">
        <v>1484</v>
      </c>
      <c r="B457" s="308" t="s">
        <v>859</v>
      </c>
      <c r="C457" s="293" t="s">
        <v>1495</v>
      </c>
      <c r="D457" s="348">
        <v>1787500</v>
      </c>
      <c r="E457" s="23" t="s">
        <v>72</v>
      </c>
      <c r="F457" s="23" t="s">
        <v>1496</v>
      </c>
      <c r="G457" s="23" t="s">
        <v>193</v>
      </c>
      <c r="H457" s="23" t="s">
        <v>72</v>
      </c>
      <c r="I457" s="23" t="s">
        <v>14</v>
      </c>
    </row>
    <row r="458" spans="1:9" ht="62.4" x14ac:dyDescent="0.35">
      <c r="A458" s="251" t="s">
        <v>1497</v>
      </c>
      <c r="B458" s="308" t="s">
        <v>13</v>
      </c>
      <c r="C458" s="293" t="s">
        <v>1498</v>
      </c>
      <c r="D458" s="348">
        <v>800000</v>
      </c>
      <c r="E458" s="23" t="s">
        <v>14</v>
      </c>
      <c r="F458" s="23">
        <v>30190000</v>
      </c>
      <c r="G458" s="23" t="s">
        <v>193</v>
      </c>
      <c r="H458" s="23" t="s">
        <v>72</v>
      </c>
      <c r="I458" s="23" t="s">
        <v>14</v>
      </c>
    </row>
    <row r="459" spans="1:9" ht="218.4" x14ac:dyDescent="0.35">
      <c r="A459" s="23" t="s">
        <v>1484</v>
      </c>
      <c r="B459" s="308" t="s">
        <v>859</v>
      </c>
      <c r="C459" s="293" t="s">
        <v>1499</v>
      </c>
      <c r="D459" s="348">
        <v>5000000</v>
      </c>
      <c r="E459" s="23" t="s">
        <v>14</v>
      </c>
      <c r="F459" s="23" t="s">
        <v>1500</v>
      </c>
      <c r="G459" s="23" t="s">
        <v>193</v>
      </c>
      <c r="H459" s="23" t="s">
        <v>14</v>
      </c>
      <c r="I459" s="23" t="s">
        <v>14</v>
      </c>
    </row>
    <row r="460" spans="1:9" ht="46.8" x14ac:dyDescent="0.35">
      <c r="A460" s="23" t="s">
        <v>1484</v>
      </c>
      <c r="B460" s="308" t="s">
        <v>859</v>
      </c>
      <c r="C460" s="293" t="s">
        <v>1501</v>
      </c>
      <c r="D460" s="348">
        <v>60000</v>
      </c>
      <c r="E460" s="23" t="s">
        <v>14</v>
      </c>
      <c r="F460" s="23">
        <v>72267000</v>
      </c>
      <c r="G460" s="23" t="s">
        <v>187</v>
      </c>
      <c r="H460" s="23" t="s">
        <v>14</v>
      </c>
      <c r="I460" s="23" t="s">
        <v>14</v>
      </c>
    </row>
    <row r="461" spans="1:9" ht="62.4" x14ac:dyDescent="0.35">
      <c r="A461" s="23" t="s">
        <v>1497</v>
      </c>
      <c r="B461" s="308" t="s">
        <v>859</v>
      </c>
      <c r="C461" s="293" t="s">
        <v>1502</v>
      </c>
      <c r="D461" s="348">
        <v>600000</v>
      </c>
      <c r="E461" s="23" t="s">
        <v>14</v>
      </c>
      <c r="F461" s="23" t="s">
        <v>1503</v>
      </c>
      <c r="G461" s="23" t="s">
        <v>46</v>
      </c>
      <c r="H461" s="23" t="s">
        <v>14</v>
      </c>
      <c r="I461" s="23" t="s">
        <v>14</v>
      </c>
    </row>
    <row r="462" spans="1:9" ht="62.4" x14ac:dyDescent="0.35">
      <c r="A462" s="23" t="s">
        <v>1497</v>
      </c>
      <c r="B462" s="308" t="s">
        <v>800</v>
      </c>
      <c r="C462" s="293" t="s">
        <v>1504</v>
      </c>
      <c r="D462" s="348">
        <v>2200000</v>
      </c>
      <c r="E462" s="23" t="s">
        <v>14</v>
      </c>
      <c r="F462" s="23" t="s">
        <v>1505</v>
      </c>
      <c r="G462" s="23" t="s">
        <v>193</v>
      </c>
      <c r="H462" s="23" t="s">
        <v>14</v>
      </c>
      <c r="I462" s="23" t="s">
        <v>14</v>
      </c>
    </row>
    <row r="463" spans="1:9" ht="62.4" x14ac:dyDescent="0.35">
      <c r="A463" s="23" t="s">
        <v>1497</v>
      </c>
      <c r="B463" s="308" t="s">
        <v>800</v>
      </c>
      <c r="C463" s="293" t="s">
        <v>1506</v>
      </c>
      <c r="D463" s="348">
        <v>2000000</v>
      </c>
      <c r="E463" s="23" t="s">
        <v>72</v>
      </c>
      <c r="F463" s="23" t="s">
        <v>1505</v>
      </c>
      <c r="G463" s="23" t="s">
        <v>193</v>
      </c>
      <c r="H463" s="23" t="s">
        <v>14</v>
      </c>
      <c r="I463" s="23" t="s">
        <v>14</v>
      </c>
    </row>
    <row r="464" spans="1:9" ht="62.4" x14ac:dyDescent="0.35">
      <c r="A464" s="23" t="s">
        <v>1497</v>
      </c>
      <c r="B464" s="308" t="s">
        <v>859</v>
      </c>
      <c r="C464" s="293" t="s">
        <v>1507</v>
      </c>
      <c r="D464" s="349">
        <v>300000</v>
      </c>
      <c r="E464" s="23" t="s">
        <v>14</v>
      </c>
      <c r="F464" s="23" t="s">
        <v>1508</v>
      </c>
      <c r="G464" s="57" t="s">
        <v>193</v>
      </c>
      <c r="H464" s="23" t="s">
        <v>14</v>
      </c>
      <c r="I464" s="23" t="s">
        <v>14</v>
      </c>
    </row>
    <row r="465" spans="1:9" ht="62.4" x14ac:dyDescent="0.35">
      <c r="A465" s="23" t="s">
        <v>1497</v>
      </c>
      <c r="B465" s="308" t="s">
        <v>13</v>
      </c>
      <c r="C465" s="293" t="s">
        <v>1509</v>
      </c>
      <c r="D465" s="349">
        <v>206000</v>
      </c>
      <c r="E465" s="23" t="s">
        <v>72</v>
      </c>
      <c r="F465" s="23">
        <v>30162000</v>
      </c>
      <c r="G465" s="23" t="s">
        <v>193</v>
      </c>
      <c r="H465" s="23" t="s">
        <v>72</v>
      </c>
      <c r="I465" s="23" t="s">
        <v>14</v>
      </c>
    </row>
    <row r="466" spans="1:9" ht="46.8" x14ac:dyDescent="0.35">
      <c r="A466" s="23" t="s">
        <v>1484</v>
      </c>
      <c r="B466" s="308" t="s">
        <v>859</v>
      </c>
      <c r="C466" s="293" t="s">
        <v>1510</v>
      </c>
      <c r="D466" s="349">
        <v>43000</v>
      </c>
      <c r="E466" s="23" t="s">
        <v>14</v>
      </c>
      <c r="F466" s="23" t="s">
        <v>1511</v>
      </c>
      <c r="G466" s="23" t="s">
        <v>24</v>
      </c>
      <c r="H466" s="23" t="s">
        <v>72</v>
      </c>
      <c r="I466" s="23" t="s">
        <v>14</v>
      </c>
    </row>
    <row r="467" spans="1:9" ht="62.4" x14ac:dyDescent="0.35">
      <c r="A467" s="23" t="s">
        <v>1484</v>
      </c>
      <c r="B467" s="308" t="s">
        <v>859</v>
      </c>
      <c r="C467" s="293" t="s">
        <v>1512</v>
      </c>
      <c r="D467" s="349">
        <v>60000</v>
      </c>
      <c r="E467" s="23" t="s">
        <v>14</v>
      </c>
      <c r="F467" s="23" t="s">
        <v>1513</v>
      </c>
      <c r="G467" s="23" t="s">
        <v>187</v>
      </c>
      <c r="H467" s="23" t="s">
        <v>258</v>
      </c>
      <c r="I467" s="23" t="s">
        <v>14</v>
      </c>
    </row>
    <row r="468" spans="1:9" ht="109.2" x14ac:dyDescent="0.35">
      <c r="A468" s="23" t="s">
        <v>1497</v>
      </c>
      <c r="B468" s="308" t="s">
        <v>13</v>
      </c>
      <c r="C468" s="293" t="s">
        <v>1514</v>
      </c>
      <c r="D468" s="348">
        <v>1800000</v>
      </c>
      <c r="E468" s="23" t="s">
        <v>72</v>
      </c>
      <c r="F468" s="23" t="s">
        <v>1515</v>
      </c>
      <c r="G468" s="23" t="s">
        <v>193</v>
      </c>
      <c r="H468" s="23" t="s">
        <v>72</v>
      </c>
      <c r="I468" s="23" t="s">
        <v>14</v>
      </c>
    </row>
    <row r="469" spans="1:9" ht="46.8" x14ac:dyDescent="0.35">
      <c r="A469" s="23" t="s">
        <v>1484</v>
      </c>
      <c r="B469" s="308" t="s">
        <v>859</v>
      </c>
      <c r="C469" s="293" t="s">
        <v>1516</v>
      </c>
      <c r="D469" s="348">
        <v>20000</v>
      </c>
      <c r="E469" s="23" t="s">
        <v>14</v>
      </c>
      <c r="F469" s="23" t="s">
        <v>1517</v>
      </c>
      <c r="G469" s="23" t="s">
        <v>18</v>
      </c>
      <c r="H469" s="23" t="s">
        <v>14</v>
      </c>
      <c r="I469" s="23" t="s">
        <v>14</v>
      </c>
    </row>
    <row r="470" spans="1:9" ht="67.2" customHeight="1" x14ac:dyDescent="0.35">
      <c r="A470" s="23" t="s">
        <v>1497</v>
      </c>
      <c r="B470" s="308" t="s">
        <v>13</v>
      </c>
      <c r="C470" s="293" t="s">
        <v>1518</v>
      </c>
      <c r="D470" s="349">
        <v>240000</v>
      </c>
      <c r="E470" s="23" t="s">
        <v>14</v>
      </c>
      <c r="F470" s="23">
        <v>42415000</v>
      </c>
      <c r="G470" s="23" t="s">
        <v>24</v>
      </c>
      <c r="H470" s="23" t="s">
        <v>14</v>
      </c>
      <c r="I470" s="23" t="s">
        <v>14</v>
      </c>
    </row>
    <row r="471" spans="1:9" ht="62.4" x14ac:dyDescent="0.35">
      <c r="A471" s="23" t="s">
        <v>1497</v>
      </c>
      <c r="B471" s="308" t="s">
        <v>859</v>
      </c>
      <c r="C471" s="293" t="s">
        <v>1519</v>
      </c>
      <c r="D471" s="348">
        <v>100000</v>
      </c>
      <c r="E471" s="23" t="s">
        <v>14</v>
      </c>
      <c r="F471" s="23">
        <v>50113200</v>
      </c>
      <c r="G471" s="23" t="s">
        <v>120</v>
      </c>
      <c r="H471" s="23" t="s">
        <v>14</v>
      </c>
      <c r="I471" s="23" t="s">
        <v>14</v>
      </c>
    </row>
    <row r="472" spans="1:9" ht="62.4" x14ac:dyDescent="0.35">
      <c r="A472" s="23" t="s">
        <v>1497</v>
      </c>
      <c r="B472" s="308" t="s">
        <v>859</v>
      </c>
      <c r="C472" s="275" t="s">
        <v>1520</v>
      </c>
      <c r="D472" s="348">
        <v>400000</v>
      </c>
      <c r="E472" s="23" t="s">
        <v>14</v>
      </c>
      <c r="F472" s="23">
        <v>48781000</v>
      </c>
      <c r="G472" s="23" t="s">
        <v>24</v>
      </c>
      <c r="H472" s="23" t="s">
        <v>14</v>
      </c>
      <c r="I472" s="23" t="s">
        <v>1521</v>
      </c>
    </row>
    <row r="473" spans="1:9" ht="62.4" x14ac:dyDescent="0.35">
      <c r="A473" s="23" t="s">
        <v>1497</v>
      </c>
      <c r="B473" s="308" t="s">
        <v>50</v>
      </c>
      <c r="C473" s="293" t="s">
        <v>1522</v>
      </c>
      <c r="D473" s="348">
        <v>850000</v>
      </c>
      <c r="E473" s="23" t="s">
        <v>14</v>
      </c>
      <c r="F473" s="23" t="s">
        <v>955</v>
      </c>
      <c r="G473" s="23" t="s">
        <v>57</v>
      </c>
      <c r="H473" s="23" t="s">
        <v>14</v>
      </c>
      <c r="I473" s="23" t="s">
        <v>14</v>
      </c>
    </row>
    <row r="474" spans="1:9" ht="62.4" x14ac:dyDescent="0.35">
      <c r="A474" s="23" t="s">
        <v>1497</v>
      </c>
      <c r="B474" s="308" t="s">
        <v>50</v>
      </c>
      <c r="C474" s="293" t="s">
        <v>1523</v>
      </c>
      <c r="D474" s="348">
        <v>4700000</v>
      </c>
      <c r="E474" s="23" t="s">
        <v>14</v>
      </c>
      <c r="F474" s="23" t="s">
        <v>955</v>
      </c>
      <c r="G474" s="23" t="s">
        <v>77</v>
      </c>
      <c r="H474" s="23" t="s">
        <v>14</v>
      </c>
      <c r="I474" s="23" t="s">
        <v>14</v>
      </c>
    </row>
    <row r="475" spans="1:9" ht="46.8" x14ac:dyDescent="0.35">
      <c r="A475" s="23" t="s">
        <v>1484</v>
      </c>
      <c r="B475" s="308" t="s">
        <v>13</v>
      </c>
      <c r="C475" s="293" t="s">
        <v>1524</v>
      </c>
      <c r="D475" s="348">
        <v>25000</v>
      </c>
      <c r="E475" s="23" t="s">
        <v>14</v>
      </c>
      <c r="F475" s="23" t="s">
        <v>1525</v>
      </c>
      <c r="G475" s="23" t="s">
        <v>18</v>
      </c>
      <c r="H475" s="23" t="s">
        <v>14</v>
      </c>
      <c r="I475" s="23" t="s">
        <v>14</v>
      </c>
    </row>
    <row r="476" spans="1:9" ht="62.4" x14ac:dyDescent="0.35">
      <c r="A476" s="23" t="s">
        <v>1497</v>
      </c>
      <c r="B476" s="308" t="s">
        <v>13</v>
      </c>
      <c r="C476" s="293" t="s">
        <v>1526</v>
      </c>
      <c r="D476" s="348">
        <v>300000</v>
      </c>
      <c r="E476" s="23" t="s">
        <v>14</v>
      </c>
      <c r="F476" s="23">
        <v>34142000</v>
      </c>
      <c r="G476" s="23" t="s">
        <v>24</v>
      </c>
      <c r="H476" s="23" t="s">
        <v>14</v>
      </c>
      <c r="I476" s="23" t="s">
        <v>14</v>
      </c>
    </row>
    <row r="477" spans="1:9" ht="46.8" x14ac:dyDescent="0.35">
      <c r="A477" s="23" t="s">
        <v>1484</v>
      </c>
      <c r="B477" s="308" t="s">
        <v>13</v>
      </c>
      <c r="C477" s="293" t="s">
        <v>1527</v>
      </c>
      <c r="D477" s="348">
        <v>520000</v>
      </c>
      <c r="E477" s="23" t="s">
        <v>14</v>
      </c>
      <c r="F477" s="23">
        <v>44115310</v>
      </c>
      <c r="G477" s="23" t="s">
        <v>24</v>
      </c>
      <c r="H477" s="23" t="s">
        <v>14</v>
      </c>
      <c r="I477" s="23" t="s">
        <v>14</v>
      </c>
    </row>
    <row r="478" spans="1:9" ht="46.8" x14ac:dyDescent="0.35">
      <c r="A478" s="23" t="s">
        <v>1484</v>
      </c>
      <c r="B478" s="308" t="s">
        <v>13</v>
      </c>
      <c r="C478" s="293" t="s">
        <v>1528</v>
      </c>
      <c r="D478" s="348">
        <v>800000</v>
      </c>
      <c r="E478" s="23" t="s">
        <v>14</v>
      </c>
      <c r="F478" s="23">
        <v>42716120</v>
      </c>
      <c r="G478" s="23" t="s">
        <v>24</v>
      </c>
      <c r="H478" s="23" t="s">
        <v>14</v>
      </c>
      <c r="I478" s="23" t="s">
        <v>14</v>
      </c>
    </row>
    <row r="479" spans="1:9" ht="46.8" x14ac:dyDescent="0.35">
      <c r="A479" s="23" t="s">
        <v>1484</v>
      </c>
      <c r="B479" s="308" t="s">
        <v>13</v>
      </c>
      <c r="C479" s="293" t="s">
        <v>1529</v>
      </c>
      <c r="D479" s="348">
        <v>30000</v>
      </c>
      <c r="E479" s="23" t="s">
        <v>14</v>
      </c>
      <c r="F479" s="23">
        <v>39151100</v>
      </c>
      <c r="G479" s="23" t="s">
        <v>18</v>
      </c>
      <c r="H479" s="23" t="s">
        <v>14</v>
      </c>
      <c r="I479" s="23" t="s">
        <v>14</v>
      </c>
    </row>
    <row r="480" spans="1:9" ht="46.8" x14ac:dyDescent="0.35">
      <c r="A480" s="23" t="s">
        <v>1484</v>
      </c>
      <c r="B480" s="308" t="s">
        <v>13</v>
      </c>
      <c r="C480" s="293" t="s">
        <v>1530</v>
      </c>
      <c r="D480" s="348">
        <v>20000</v>
      </c>
      <c r="E480" s="23" t="s">
        <v>14</v>
      </c>
      <c r="F480" s="23">
        <v>2510000</v>
      </c>
      <c r="G480" s="23" t="s">
        <v>18</v>
      </c>
      <c r="H480" s="23" t="s">
        <v>14</v>
      </c>
      <c r="I480" s="23" t="s">
        <v>14</v>
      </c>
    </row>
    <row r="481" spans="1:9" ht="62.4" x14ac:dyDescent="0.35">
      <c r="A481" s="23" t="s">
        <v>1497</v>
      </c>
      <c r="B481" s="308" t="s">
        <v>859</v>
      </c>
      <c r="C481" s="293" t="s">
        <v>1531</v>
      </c>
      <c r="D481" s="348">
        <v>892920</v>
      </c>
      <c r="E481" s="23" t="s">
        <v>14</v>
      </c>
      <c r="F481" s="23">
        <v>50113000</v>
      </c>
      <c r="G481" s="23" t="s">
        <v>1532</v>
      </c>
      <c r="H481" s="23" t="s">
        <v>72</v>
      </c>
      <c r="I481" s="23" t="s">
        <v>14</v>
      </c>
    </row>
    <row r="482" spans="1:9" ht="62.4" x14ac:dyDescent="0.35">
      <c r="A482" s="23" t="s">
        <v>1497</v>
      </c>
      <c r="B482" s="308" t="s">
        <v>135</v>
      </c>
      <c r="C482" s="293" t="s">
        <v>1533</v>
      </c>
      <c r="D482" s="348">
        <v>850000</v>
      </c>
      <c r="E482" s="23" t="s">
        <v>14</v>
      </c>
      <c r="F482" s="23" t="s">
        <v>1534</v>
      </c>
      <c r="G482" s="23" t="s">
        <v>1535</v>
      </c>
      <c r="H482" s="23" t="s">
        <v>72</v>
      </c>
      <c r="I482" s="23" t="s">
        <v>14</v>
      </c>
    </row>
    <row r="483" spans="1:9" ht="62.4" x14ac:dyDescent="0.35">
      <c r="A483" s="23" t="s">
        <v>1497</v>
      </c>
      <c r="B483" s="308" t="s">
        <v>859</v>
      </c>
      <c r="C483" s="293" t="s">
        <v>1536</v>
      </c>
      <c r="D483" s="348">
        <v>176000</v>
      </c>
      <c r="E483" s="23" t="s">
        <v>72</v>
      </c>
      <c r="F483" s="23" t="s">
        <v>1537</v>
      </c>
      <c r="G483" s="23" t="s">
        <v>120</v>
      </c>
      <c r="H483" s="23" t="s">
        <v>72</v>
      </c>
      <c r="I483" s="23" t="s">
        <v>14</v>
      </c>
    </row>
    <row r="484" spans="1:9" ht="62.4" x14ac:dyDescent="0.35">
      <c r="A484" s="23" t="s">
        <v>1497</v>
      </c>
      <c r="B484" s="308" t="s">
        <v>859</v>
      </c>
      <c r="C484" s="293" t="s">
        <v>1538</v>
      </c>
      <c r="D484" s="348">
        <v>350000</v>
      </c>
      <c r="E484" s="23" t="s">
        <v>14</v>
      </c>
      <c r="F484" s="23">
        <v>72200000</v>
      </c>
      <c r="G484" s="23" t="s">
        <v>309</v>
      </c>
      <c r="H484" s="23" t="s">
        <v>14</v>
      </c>
      <c r="I484" s="23" t="s">
        <v>14</v>
      </c>
    </row>
    <row r="485" spans="1:9" ht="62.4" x14ac:dyDescent="0.35">
      <c r="A485" s="23" t="s">
        <v>1497</v>
      </c>
      <c r="B485" s="308" t="s">
        <v>13</v>
      </c>
      <c r="C485" s="293" t="s">
        <v>1539</v>
      </c>
      <c r="D485" s="348">
        <v>1000000</v>
      </c>
      <c r="E485" s="23" t="s">
        <v>72</v>
      </c>
      <c r="F485" s="23">
        <v>162000</v>
      </c>
      <c r="G485" s="23" t="s">
        <v>187</v>
      </c>
      <c r="H485" s="23" t="s">
        <v>72</v>
      </c>
      <c r="I485" s="23" t="s">
        <v>14</v>
      </c>
    </row>
    <row r="486" spans="1:9" ht="46.8" x14ac:dyDescent="0.35">
      <c r="A486" s="23" t="s">
        <v>1484</v>
      </c>
      <c r="B486" s="308" t="s">
        <v>859</v>
      </c>
      <c r="C486" s="293" t="s">
        <v>1540</v>
      </c>
      <c r="D486" s="348">
        <v>12000</v>
      </c>
      <c r="E486" s="23" t="s">
        <v>14</v>
      </c>
      <c r="F486" s="23" t="s">
        <v>1541</v>
      </c>
      <c r="G486" s="23" t="s">
        <v>18</v>
      </c>
      <c r="H486" s="23" t="s">
        <v>72</v>
      </c>
      <c r="I486" s="23" t="s">
        <v>14</v>
      </c>
    </row>
    <row r="487" spans="1:9" ht="62.4" x14ac:dyDescent="0.35">
      <c r="A487" s="23" t="s">
        <v>1497</v>
      </c>
      <c r="B487" s="308" t="s">
        <v>859</v>
      </c>
      <c r="C487" s="293" t="s">
        <v>1542</v>
      </c>
      <c r="D487" s="348">
        <v>99000</v>
      </c>
      <c r="E487" s="23" t="s">
        <v>14</v>
      </c>
      <c r="F487" s="23">
        <v>50116000</v>
      </c>
      <c r="G487" s="23" t="s">
        <v>18</v>
      </c>
      <c r="H487" s="23" t="s">
        <v>14</v>
      </c>
      <c r="I487" s="23" t="s">
        <v>14</v>
      </c>
    </row>
    <row r="488" spans="1:9" ht="62.4" x14ac:dyDescent="0.35">
      <c r="A488" s="23" t="s">
        <v>1497</v>
      </c>
      <c r="B488" s="308" t="s">
        <v>859</v>
      </c>
      <c r="C488" s="293" t="s">
        <v>1543</v>
      </c>
      <c r="D488" s="348">
        <v>90000</v>
      </c>
      <c r="E488" s="23" t="s">
        <v>14</v>
      </c>
      <c r="F488" s="23" t="s">
        <v>1544</v>
      </c>
      <c r="G488" s="23" t="s">
        <v>193</v>
      </c>
      <c r="H488" s="23" t="s">
        <v>14</v>
      </c>
      <c r="I488" s="23" t="s">
        <v>14</v>
      </c>
    </row>
    <row r="489" spans="1:9" ht="46.8" x14ac:dyDescent="0.35">
      <c r="A489" s="23" t="s">
        <v>1484</v>
      </c>
      <c r="B489" s="308" t="s">
        <v>859</v>
      </c>
      <c r="C489" s="293" t="s">
        <v>1545</v>
      </c>
      <c r="D489" s="348" t="s">
        <v>1546</v>
      </c>
      <c r="E489" s="23" t="s">
        <v>14</v>
      </c>
      <c r="F489" s="23" t="s">
        <v>1547</v>
      </c>
      <c r="G489" s="23" t="s">
        <v>1097</v>
      </c>
      <c r="H489" s="23" t="s">
        <v>258</v>
      </c>
      <c r="I489" s="23" t="s">
        <v>14</v>
      </c>
    </row>
    <row r="490" spans="1:9" ht="46.8" x14ac:dyDescent="0.35">
      <c r="A490" s="23" t="s">
        <v>1484</v>
      </c>
      <c r="B490" s="308" t="s">
        <v>859</v>
      </c>
      <c r="C490" s="293" t="s">
        <v>1548</v>
      </c>
      <c r="D490" s="348">
        <v>60000</v>
      </c>
      <c r="E490" s="23" t="s">
        <v>14</v>
      </c>
      <c r="F490" s="23" t="s">
        <v>1513</v>
      </c>
      <c r="G490" s="23" t="s">
        <v>187</v>
      </c>
      <c r="H490" s="23" t="s">
        <v>14</v>
      </c>
      <c r="I490" s="23" t="s">
        <v>14</v>
      </c>
    </row>
    <row r="491" spans="1:9" ht="78" x14ac:dyDescent="0.35">
      <c r="A491" s="23" t="s">
        <v>1484</v>
      </c>
      <c r="B491" s="308" t="s">
        <v>859</v>
      </c>
      <c r="C491" s="293" t="s">
        <v>1549</v>
      </c>
      <c r="D491" s="348">
        <v>225000</v>
      </c>
      <c r="E491" s="23" t="s">
        <v>14</v>
      </c>
      <c r="F491" s="23" t="s">
        <v>1550</v>
      </c>
      <c r="G491" s="23" t="s">
        <v>193</v>
      </c>
      <c r="H491" s="23" t="s">
        <v>72</v>
      </c>
      <c r="I491" s="23" t="s">
        <v>14</v>
      </c>
    </row>
    <row r="492" spans="1:9" ht="78" x14ac:dyDescent="0.35">
      <c r="A492" s="23" t="s">
        <v>1484</v>
      </c>
      <c r="B492" s="308" t="s">
        <v>859</v>
      </c>
      <c r="C492" s="293" t="s">
        <v>1551</v>
      </c>
      <c r="D492" s="348">
        <v>175000</v>
      </c>
      <c r="E492" s="23" t="s">
        <v>14</v>
      </c>
      <c r="F492" s="23" t="s">
        <v>1550</v>
      </c>
      <c r="G492" s="23" t="s">
        <v>193</v>
      </c>
      <c r="H492" s="23" t="s">
        <v>72</v>
      </c>
      <c r="I492" s="23" t="s">
        <v>14</v>
      </c>
    </row>
    <row r="493" spans="1:9" ht="46.8" x14ac:dyDescent="0.35">
      <c r="A493" s="23" t="s">
        <v>1484</v>
      </c>
      <c r="B493" s="308" t="s">
        <v>859</v>
      </c>
      <c r="C493" s="293" t="s">
        <v>1552</v>
      </c>
      <c r="D493" s="348">
        <v>600000</v>
      </c>
      <c r="E493" s="23" t="s">
        <v>14</v>
      </c>
      <c r="F493" s="23" t="s">
        <v>1553</v>
      </c>
      <c r="G493" s="23" t="s">
        <v>193</v>
      </c>
      <c r="H493" s="23" t="s">
        <v>72</v>
      </c>
      <c r="I493" s="23" t="s">
        <v>14</v>
      </c>
    </row>
    <row r="494" spans="1:9" ht="46.8" x14ac:dyDescent="0.35">
      <c r="A494" s="23" t="s">
        <v>1484</v>
      </c>
      <c r="B494" s="308" t="s">
        <v>13</v>
      </c>
      <c r="C494" s="293" t="s">
        <v>1554</v>
      </c>
      <c r="D494" s="348">
        <v>15000</v>
      </c>
      <c r="E494" s="23" t="s">
        <v>14</v>
      </c>
      <c r="F494" s="23" t="s">
        <v>1555</v>
      </c>
      <c r="G494" s="23" t="s">
        <v>1556</v>
      </c>
      <c r="H494" s="23" t="s">
        <v>14</v>
      </c>
      <c r="I494" s="23" t="s">
        <v>14</v>
      </c>
    </row>
    <row r="495" spans="1:9" ht="39" customHeight="1" x14ac:dyDescent="0.35">
      <c r="A495" s="23" t="s">
        <v>1497</v>
      </c>
      <c r="B495" s="308" t="s">
        <v>50</v>
      </c>
      <c r="C495" s="293" t="s">
        <v>1557</v>
      </c>
      <c r="D495" s="348">
        <v>800000</v>
      </c>
      <c r="E495" s="23" t="s">
        <v>14</v>
      </c>
      <c r="F495" s="23" t="s">
        <v>1558</v>
      </c>
      <c r="G495" s="23" t="s">
        <v>46</v>
      </c>
      <c r="H495" s="23" t="s">
        <v>14</v>
      </c>
      <c r="I495" s="23" t="s">
        <v>14</v>
      </c>
    </row>
    <row r="496" spans="1:9" ht="62.4" x14ac:dyDescent="0.35">
      <c r="A496" s="23" t="s">
        <v>1497</v>
      </c>
      <c r="B496" s="308" t="s">
        <v>50</v>
      </c>
      <c r="C496" s="293" t="s">
        <v>1559</v>
      </c>
      <c r="D496" s="348">
        <v>1750000</v>
      </c>
      <c r="E496" s="23" t="s">
        <v>14</v>
      </c>
      <c r="F496" s="23" t="s">
        <v>1560</v>
      </c>
      <c r="G496" s="23" t="s">
        <v>91</v>
      </c>
      <c r="H496" s="23" t="s">
        <v>14</v>
      </c>
      <c r="I496" s="23" t="s">
        <v>14</v>
      </c>
    </row>
    <row r="497" spans="1:9" ht="62.4" x14ac:dyDescent="0.35">
      <c r="A497" s="23" t="s">
        <v>1497</v>
      </c>
      <c r="B497" s="308" t="s">
        <v>135</v>
      </c>
      <c r="C497" s="293" t="s">
        <v>1561</v>
      </c>
      <c r="D497" s="348">
        <v>500000</v>
      </c>
      <c r="E497" s="23" t="s">
        <v>14</v>
      </c>
      <c r="F497" s="23" t="s">
        <v>1562</v>
      </c>
      <c r="G497" s="23" t="s">
        <v>49</v>
      </c>
      <c r="H497" s="23" t="s">
        <v>14</v>
      </c>
      <c r="I497" s="23" t="s">
        <v>14</v>
      </c>
    </row>
    <row r="498" spans="1:9" ht="62.4" x14ac:dyDescent="0.35">
      <c r="A498" s="23" t="s">
        <v>1497</v>
      </c>
      <c r="B498" s="308" t="s">
        <v>135</v>
      </c>
      <c r="C498" s="293" t="s">
        <v>1563</v>
      </c>
      <c r="D498" s="348">
        <v>1800000</v>
      </c>
      <c r="E498" s="23" t="s">
        <v>14</v>
      </c>
      <c r="F498" s="23" t="s">
        <v>1564</v>
      </c>
      <c r="G498" s="23" t="s">
        <v>91</v>
      </c>
      <c r="H498" s="23" t="s">
        <v>14</v>
      </c>
      <c r="I498" s="23" t="s">
        <v>14</v>
      </c>
    </row>
    <row r="499" spans="1:9" ht="62.4" x14ac:dyDescent="0.35">
      <c r="A499" s="23" t="s">
        <v>1497</v>
      </c>
      <c r="B499" s="308" t="s">
        <v>135</v>
      </c>
      <c r="C499" s="293" t="s">
        <v>1565</v>
      </c>
      <c r="D499" s="348">
        <v>2000000</v>
      </c>
      <c r="E499" s="23" t="s">
        <v>14</v>
      </c>
      <c r="F499" s="23" t="s">
        <v>1566</v>
      </c>
      <c r="G499" s="23" t="s">
        <v>46</v>
      </c>
      <c r="H499" s="23" t="s">
        <v>14</v>
      </c>
      <c r="I499" s="23" t="s">
        <v>14</v>
      </c>
    </row>
    <row r="500" spans="1:9" ht="62.4" x14ac:dyDescent="0.35">
      <c r="A500" s="23" t="s">
        <v>1497</v>
      </c>
      <c r="B500" s="308" t="s">
        <v>135</v>
      </c>
      <c r="C500" s="293" t="s">
        <v>1567</v>
      </c>
      <c r="D500" s="348">
        <v>500000</v>
      </c>
      <c r="E500" s="23" t="s">
        <v>14</v>
      </c>
      <c r="F500" s="23" t="s">
        <v>1568</v>
      </c>
      <c r="G500" s="23" t="s">
        <v>46</v>
      </c>
      <c r="H500" s="23" t="s">
        <v>14</v>
      </c>
      <c r="I500" s="23" t="s">
        <v>14</v>
      </c>
    </row>
    <row r="501" spans="1:9" ht="62.4" x14ac:dyDescent="0.35">
      <c r="A501" s="23" t="s">
        <v>1497</v>
      </c>
      <c r="B501" s="308" t="s">
        <v>13</v>
      </c>
      <c r="C501" s="293" t="s">
        <v>1569</v>
      </c>
      <c r="D501" s="348">
        <v>27040000</v>
      </c>
      <c r="E501" s="23" t="s">
        <v>72</v>
      </c>
      <c r="F501" s="23">
        <v>34121000</v>
      </c>
      <c r="G501" s="23" t="s">
        <v>187</v>
      </c>
      <c r="H501" s="23" t="s">
        <v>72</v>
      </c>
      <c r="I501" s="23" t="s">
        <v>14</v>
      </c>
    </row>
    <row r="502" spans="1:9" ht="62.4" x14ac:dyDescent="0.35">
      <c r="A502" s="23" t="s">
        <v>1497</v>
      </c>
      <c r="B502" s="308" t="s">
        <v>13</v>
      </c>
      <c r="C502" s="293" t="s">
        <v>1570</v>
      </c>
      <c r="D502" s="348">
        <v>37760000</v>
      </c>
      <c r="E502" s="23" t="s">
        <v>72</v>
      </c>
      <c r="F502" s="23">
        <v>34121000</v>
      </c>
      <c r="G502" s="23" t="s">
        <v>187</v>
      </c>
      <c r="H502" s="23" t="s">
        <v>72</v>
      </c>
      <c r="I502" s="23" t="s">
        <v>14</v>
      </c>
    </row>
    <row r="504" spans="1:9" ht="15" customHeight="1" x14ac:dyDescent="0.35">
      <c r="A504" s="268" t="s">
        <v>1571</v>
      </c>
      <c r="B504" s="268"/>
      <c r="C504" s="268"/>
      <c r="D504" s="268"/>
      <c r="E504" s="268"/>
      <c r="F504" s="268"/>
      <c r="G504" s="268"/>
      <c r="H504" s="268"/>
      <c r="I504" s="268"/>
    </row>
    <row r="505" spans="1:9" x14ac:dyDescent="0.35">
      <c r="E505" s="31"/>
      <c r="F505" s="311"/>
      <c r="G505" s="311"/>
      <c r="I505" s="312"/>
    </row>
    <row r="506" spans="1:9" ht="13.2" customHeight="1" x14ac:dyDescent="0.35">
      <c r="A506" s="254" t="s">
        <v>857</v>
      </c>
      <c r="B506" s="321" t="s">
        <v>2</v>
      </c>
      <c r="C506" s="321" t="s">
        <v>4</v>
      </c>
      <c r="D506" s="350" t="s">
        <v>1572</v>
      </c>
      <c r="E506" s="321" t="s">
        <v>6</v>
      </c>
      <c r="F506" s="322" t="s">
        <v>8</v>
      </c>
      <c r="G506" s="322" t="s">
        <v>9</v>
      </c>
      <c r="H506" s="321" t="s">
        <v>10</v>
      </c>
      <c r="I506" s="254" t="s">
        <v>11</v>
      </c>
    </row>
    <row r="507" spans="1:9" ht="35.1" customHeight="1" x14ac:dyDescent="0.35">
      <c r="A507" s="254"/>
      <c r="B507" s="321"/>
      <c r="C507" s="321"/>
      <c r="D507" s="350"/>
      <c r="E507" s="321"/>
      <c r="F507" s="322"/>
      <c r="G507" s="322"/>
      <c r="H507" s="321"/>
      <c r="I507" s="254"/>
    </row>
    <row r="508" spans="1:9" ht="31.2" x14ac:dyDescent="0.35">
      <c r="A508" s="23" t="s">
        <v>1573</v>
      </c>
      <c r="B508" s="23" t="s">
        <v>13</v>
      </c>
      <c r="C508" s="275" t="s">
        <v>1574</v>
      </c>
      <c r="D508" s="295">
        <f>24000*5</f>
        <v>120000</v>
      </c>
      <c r="E508" s="23" t="s">
        <v>14</v>
      </c>
      <c r="F508" s="23" t="s">
        <v>1575</v>
      </c>
      <c r="G508" s="102" t="s">
        <v>193</v>
      </c>
      <c r="H508" s="23" t="s">
        <v>72</v>
      </c>
      <c r="I508" s="23" t="s">
        <v>14</v>
      </c>
    </row>
    <row r="509" spans="1:9" ht="31.2" x14ac:dyDescent="0.35">
      <c r="A509" s="58" t="s">
        <v>1573</v>
      </c>
      <c r="B509" s="23" t="s">
        <v>13</v>
      </c>
      <c r="C509" s="275" t="s">
        <v>1576</v>
      </c>
      <c r="D509" s="295">
        <f>25000*3</f>
        <v>75000</v>
      </c>
      <c r="E509" s="23" t="s">
        <v>14</v>
      </c>
      <c r="F509" s="23" t="s">
        <v>1577</v>
      </c>
      <c r="G509" s="102" t="s">
        <v>187</v>
      </c>
      <c r="H509" s="23" t="s">
        <v>14</v>
      </c>
      <c r="I509" s="23" t="s">
        <v>14</v>
      </c>
    </row>
    <row r="510" spans="1:9" ht="31.2" x14ac:dyDescent="0.35">
      <c r="A510" s="23" t="s">
        <v>1573</v>
      </c>
      <c r="B510" s="23" t="s">
        <v>13</v>
      </c>
      <c r="C510" s="275" t="s">
        <v>1578</v>
      </c>
      <c r="D510" s="295">
        <f>30000*5</f>
        <v>150000</v>
      </c>
      <c r="E510" s="23" t="s">
        <v>14</v>
      </c>
      <c r="F510" s="23" t="s">
        <v>1579</v>
      </c>
      <c r="G510" s="102" t="s">
        <v>193</v>
      </c>
      <c r="H510" s="23" t="s">
        <v>72</v>
      </c>
      <c r="I510" s="23" t="s">
        <v>14</v>
      </c>
    </row>
    <row r="511" spans="1:9" ht="31.2" x14ac:dyDescent="0.35">
      <c r="A511" s="58" t="s">
        <v>1573</v>
      </c>
      <c r="B511" s="23" t="s">
        <v>859</v>
      </c>
      <c r="C511" s="275" t="s">
        <v>1580</v>
      </c>
      <c r="D511" s="295">
        <v>25000</v>
      </c>
      <c r="E511" s="23" t="s">
        <v>14</v>
      </c>
      <c r="F511" s="23" t="s">
        <v>1581</v>
      </c>
      <c r="G511" s="102" t="s">
        <v>193</v>
      </c>
      <c r="H511" s="23" t="s">
        <v>72</v>
      </c>
      <c r="I511" s="23" t="s">
        <v>14</v>
      </c>
    </row>
    <row r="512" spans="1:9" ht="31.2" x14ac:dyDescent="0.35">
      <c r="A512" s="58" t="s">
        <v>1573</v>
      </c>
      <c r="B512" s="23" t="s">
        <v>859</v>
      </c>
      <c r="C512" s="275" t="s">
        <v>1582</v>
      </c>
      <c r="D512" s="295">
        <f>25000*5</f>
        <v>125000</v>
      </c>
      <c r="E512" s="23" t="s">
        <v>14</v>
      </c>
      <c r="F512" s="23" t="s">
        <v>1583</v>
      </c>
      <c r="G512" s="102" t="s">
        <v>193</v>
      </c>
      <c r="H512" s="23" t="s">
        <v>72</v>
      </c>
      <c r="I512" s="23" t="s">
        <v>14</v>
      </c>
    </row>
    <row r="513" spans="1:9" ht="31.2" x14ac:dyDescent="0.35">
      <c r="A513" s="23" t="s">
        <v>1573</v>
      </c>
      <c r="B513" s="23" t="s">
        <v>859</v>
      </c>
      <c r="C513" s="275" t="s">
        <v>1584</v>
      </c>
      <c r="D513" s="295">
        <f>10000*5</f>
        <v>50000</v>
      </c>
      <c r="E513" s="23" t="s">
        <v>1585</v>
      </c>
      <c r="F513" s="23" t="s">
        <v>1586</v>
      </c>
      <c r="G513" s="102" t="s">
        <v>193</v>
      </c>
      <c r="H513" s="23" t="s">
        <v>72</v>
      </c>
      <c r="I513" s="23" t="s">
        <v>14</v>
      </c>
    </row>
    <row r="514" spans="1:9" ht="31.2" x14ac:dyDescent="0.35">
      <c r="A514" s="58" t="s">
        <v>1573</v>
      </c>
      <c r="B514" s="23" t="s">
        <v>859</v>
      </c>
      <c r="C514" s="275" t="s">
        <v>1587</v>
      </c>
      <c r="D514" s="295">
        <f>20000*5</f>
        <v>100000</v>
      </c>
      <c r="E514" s="23" t="s">
        <v>14</v>
      </c>
      <c r="F514" s="23" t="s">
        <v>1588</v>
      </c>
      <c r="G514" s="102" t="s">
        <v>193</v>
      </c>
      <c r="H514" s="23" t="s">
        <v>72</v>
      </c>
      <c r="I514" s="23" t="s">
        <v>14</v>
      </c>
    </row>
    <row r="515" spans="1:9" ht="31.2" x14ac:dyDescent="0.35">
      <c r="A515" s="23" t="s">
        <v>1573</v>
      </c>
      <c r="B515" s="23" t="s">
        <v>859</v>
      </c>
      <c r="C515" s="275" t="s">
        <v>1589</v>
      </c>
      <c r="D515" s="295">
        <f>9000*5</f>
        <v>45000</v>
      </c>
      <c r="E515" s="23" t="s">
        <v>14</v>
      </c>
      <c r="F515" s="23" t="s">
        <v>1590</v>
      </c>
      <c r="G515" s="102" t="s">
        <v>193</v>
      </c>
      <c r="H515" s="23" t="s">
        <v>72</v>
      </c>
      <c r="I515" s="23" t="s">
        <v>14</v>
      </c>
    </row>
    <row r="516" spans="1:9" ht="31.2" x14ac:dyDescent="0.35">
      <c r="A516" s="58" t="s">
        <v>1573</v>
      </c>
      <c r="B516" s="23" t="s">
        <v>13</v>
      </c>
      <c r="C516" s="275" t="s">
        <v>1591</v>
      </c>
      <c r="D516" s="295">
        <v>500000</v>
      </c>
      <c r="E516" s="23" t="s">
        <v>14</v>
      </c>
      <c r="F516" s="23" t="s">
        <v>1592</v>
      </c>
      <c r="G516" s="102" t="s">
        <v>1593</v>
      </c>
      <c r="H516" s="23" t="s">
        <v>14</v>
      </c>
      <c r="I516" s="23" t="s">
        <v>14</v>
      </c>
    </row>
    <row r="517" spans="1:9" ht="31.2" x14ac:dyDescent="0.35">
      <c r="A517" s="23" t="s">
        <v>1573</v>
      </c>
      <c r="B517" s="23" t="s">
        <v>1349</v>
      </c>
      <c r="C517" s="275" t="s">
        <v>1594</v>
      </c>
      <c r="D517" s="295">
        <v>250000</v>
      </c>
      <c r="E517" s="23" t="s">
        <v>14</v>
      </c>
      <c r="F517" s="23" t="s">
        <v>1595</v>
      </c>
      <c r="G517" s="102" t="s">
        <v>1593</v>
      </c>
      <c r="H517" s="23" t="s">
        <v>14</v>
      </c>
      <c r="I517" s="23" t="s">
        <v>14</v>
      </c>
    </row>
    <row r="518" spans="1:9" ht="31.2" x14ac:dyDescent="0.35">
      <c r="A518" s="58" t="s">
        <v>1573</v>
      </c>
      <c r="B518" s="23" t="s">
        <v>1596</v>
      </c>
      <c r="C518" s="275" t="s">
        <v>1597</v>
      </c>
      <c r="D518" s="295">
        <f>3500*5</f>
        <v>17500</v>
      </c>
      <c r="E518" s="23" t="s">
        <v>14</v>
      </c>
      <c r="F518" s="23" t="s">
        <v>1598</v>
      </c>
      <c r="G518" s="102" t="s">
        <v>187</v>
      </c>
      <c r="H518" s="23" t="s">
        <v>14</v>
      </c>
      <c r="I518" s="23" t="s">
        <v>14</v>
      </c>
    </row>
    <row r="519" spans="1:9" ht="31.2" x14ac:dyDescent="0.35">
      <c r="A519" s="58" t="s">
        <v>1573</v>
      </c>
      <c r="B519" s="23" t="s">
        <v>1599</v>
      </c>
      <c r="C519" s="275" t="s">
        <v>1600</v>
      </c>
      <c r="D519" s="295">
        <f>35000*5</f>
        <v>175000</v>
      </c>
      <c r="E519" s="23" t="s">
        <v>72</v>
      </c>
      <c r="F519" s="23" t="s">
        <v>1601</v>
      </c>
      <c r="G519" s="102" t="s">
        <v>193</v>
      </c>
      <c r="H519" s="23" t="s">
        <v>72</v>
      </c>
      <c r="I519" s="23" t="s">
        <v>14</v>
      </c>
    </row>
    <row r="521" spans="1:9" ht="23.85" customHeight="1" x14ac:dyDescent="0.35">
      <c r="A521" s="250" t="s">
        <v>1602</v>
      </c>
      <c r="B521" s="250"/>
      <c r="C521" s="250"/>
      <c r="D521" s="250"/>
      <c r="E521" s="250"/>
      <c r="F521" s="250"/>
      <c r="G521" s="250"/>
      <c r="H521" s="250"/>
      <c r="I521" s="250"/>
    </row>
    <row r="522" spans="1:9" x14ac:dyDescent="0.35">
      <c r="E522" s="31"/>
    </row>
    <row r="523" spans="1:9" ht="13.2" customHeight="1" x14ac:dyDescent="0.35">
      <c r="A523" s="254" t="s">
        <v>857</v>
      </c>
      <c r="B523" s="321" t="s">
        <v>2</v>
      </c>
      <c r="C523" s="321" t="s">
        <v>4</v>
      </c>
      <c r="D523" s="350" t="s">
        <v>5</v>
      </c>
      <c r="E523" s="321" t="s">
        <v>6</v>
      </c>
      <c r="F523" s="322" t="s">
        <v>8</v>
      </c>
      <c r="G523" s="322" t="s">
        <v>9</v>
      </c>
      <c r="H523" s="321" t="s">
        <v>10</v>
      </c>
      <c r="I523" s="254" t="s">
        <v>11</v>
      </c>
    </row>
    <row r="524" spans="1:9" ht="38.85" customHeight="1" x14ac:dyDescent="0.35">
      <c r="A524" s="254"/>
      <c r="B524" s="321"/>
      <c r="C524" s="321"/>
      <c r="D524" s="350"/>
      <c r="E524" s="321"/>
      <c r="F524" s="322"/>
      <c r="G524" s="322"/>
      <c r="H524" s="321"/>
      <c r="I524" s="254"/>
    </row>
    <row r="525" spans="1:9" ht="64.8" customHeight="1" x14ac:dyDescent="0.35">
      <c r="A525" s="23" t="s">
        <v>1603</v>
      </c>
      <c r="B525" s="23" t="s">
        <v>859</v>
      </c>
      <c r="C525" s="275" t="s">
        <v>1604</v>
      </c>
      <c r="D525" s="351">
        <v>75000</v>
      </c>
      <c r="E525" s="23" t="s">
        <v>14</v>
      </c>
      <c r="F525" s="23">
        <v>98341130</v>
      </c>
      <c r="G525" s="23" t="s">
        <v>187</v>
      </c>
      <c r="H525" s="23" t="s">
        <v>72</v>
      </c>
      <c r="I525" s="23" t="s">
        <v>72</v>
      </c>
    </row>
    <row r="526" spans="1:9" ht="64.8" customHeight="1" x14ac:dyDescent="0.35">
      <c r="A526" s="23" t="s">
        <v>1603</v>
      </c>
      <c r="B526" s="23" t="s">
        <v>859</v>
      </c>
      <c r="C526" s="275" t="s">
        <v>1605</v>
      </c>
      <c r="D526" s="351">
        <v>105000</v>
      </c>
      <c r="E526" s="23" t="s">
        <v>14</v>
      </c>
      <c r="F526" s="23" t="s">
        <v>1606</v>
      </c>
      <c r="G526" s="23" t="s">
        <v>187</v>
      </c>
      <c r="H526" s="23" t="s">
        <v>72</v>
      </c>
      <c r="I526" s="23" t="s">
        <v>14</v>
      </c>
    </row>
    <row r="527" spans="1:9" ht="64.8" customHeight="1" x14ac:dyDescent="0.35">
      <c r="A527" s="23" t="s">
        <v>1603</v>
      </c>
      <c r="B527" s="23" t="s">
        <v>859</v>
      </c>
      <c r="C527" s="275" t="s">
        <v>1607</v>
      </c>
      <c r="D527" s="351">
        <v>300000</v>
      </c>
      <c r="E527" s="23" t="s">
        <v>14</v>
      </c>
      <c r="F527" s="23" t="s">
        <v>1608</v>
      </c>
      <c r="G527" s="23" t="s">
        <v>187</v>
      </c>
      <c r="H527" s="23" t="s">
        <v>72</v>
      </c>
      <c r="I527" s="23" t="s">
        <v>14</v>
      </c>
    </row>
    <row r="528" spans="1:9" ht="64.8" customHeight="1" x14ac:dyDescent="0.35">
      <c r="A528" s="23" t="s">
        <v>1603</v>
      </c>
      <c r="B528" s="23" t="s">
        <v>859</v>
      </c>
      <c r="C528" s="275" t="s">
        <v>1609</v>
      </c>
      <c r="D528" s="351">
        <v>680000</v>
      </c>
      <c r="E528" s="23" t="s">
        <v>14</v>
      </c>
      <c r="F528" s="23">
        <v>50700000</v>
      </c>
      <c r="G528" s="23" t="s">
        <v>187</v>
      </c>
      <c r="H528" s="23" t="s">
        <v>72</v>
      </c>
      <c r="I528" s="23" t="s">
        <v>14</v>
      </c>
    </row>
    <row r="529" spans="1:9" ht="64.8" customHeight="1" x14ac:dyDescent="0.35">
      <c r="A529" s="23" t="s">
        <v>1603</v>
      </c>
      <c r="B529" s="23" t="s">
        <v>859</v>
      </c>
      <c r="C529" s="275" t="s">
        <v>1610</v>
      </c>
      <c r="D529" s="351">
        <v>800000</v>
      </c>
      <c r="E529" s="23" t="s">
        <v>14</v>
      </c>
      <c r="F529" s="23" t="s">
        <v>578</v>
      </c>
      <c r="G529" s="23" t="s">
        <v>187</v>
      </c>
      <c r="H529" s="23" t="s">
        <v>72</v>
      </c>
      <c r="I529" s="23" t="s">
        <v>72</v>
      </c>
    </row>
    <row r="530" spans="1:9" ht="64.8" customHeight="1" x14ac:dyDescent="0.35">
      <c r="A530" s="23" t="s">
        <v>1603</v>
      </c>
      <c r="B530" s="23" t="s">
        <v>859</v>
      </c>
      <c r="C530" s="275" t="s">
        <v>1611</v>
      </c>
      <c r="D530" s="351">
        <v>90000</v>
      </c>
      <c r="E530" s="23" t="s">
        <v>14</v>
      </c>
      <c r="F530" s="23" t="s">
        <v>1612</v>
      </c>
      <c r="G530" s="23" t="s">
        <v>187</v>
      </c>
      <c r="H530" s="23" t="s">
        <v>72</v>
      </c>
      <c r="I530" s="23" t="s">
        <v>72</v>
      </c>
    </row>
    <row r="531" spans="1:9" ht="64.8" customHeight="1" x14ac:dyDescent="0.35">
      <c r="A531" s="23" t="s">
        <v>1603</v>
      </c>
      <c r="B531" s="23" t="s">
        <v>1613</v>
      </c>
      <c r="C531" s="275" t="s">
        <v>1614</v>
      </c>
      <c r="D531" s="351">
        <v>62083.05</v>
      </c>
      <c r="E531" s="23" t="s">
        <v>14</v>
      </c>
      <c r="F531" s="23">
        <v>45000000</v>
      </c>
      <c r="G531" s="23" t="s">
        <v>91</v>
      </c>
      <c r="H531" s="23" t="s">
        <v>14</v>
      </c>
      <c r="I531" s="23" t="s">
        <v>14</v>
      </c>
    </row>
    <row r="532" spans="1:9" ht="64.8" customHeight="1" x14ac:dyDescent="0.35">
      <c r="A532" s="23" t="s">
        <v>1615</v>
      </c>
      <c r="B532" s="23" t="s">
        <v>1613</v>
      </c>
      <c r="C532" s="275" t="s">
        <v>1616</v>
      </c>
      <c r="D532" s="351">
        <v>607817.65</v>
      </c>
      <c r="E532" s="23" t="s">
        <v>14</v>
      </c>
      <c r="F532" s="23">
        <v>45000000</v>
      </c>
      <c r="G532" s="23" t="s">
        <v>18</v>
      </c>
      <c r="H532" s="23" t="s">
        <v>14</v>
      </c>
      <c r="I532" s="23" t="s">
        <v>14</v>
      </c>
    </row>
    <row r="533" spans="1:9" ht="64.8" customHeight="1" x14ac:dyDescent="0.35">
      <c r="A533" s="23" t="s">
        <v>1603</v>
      </c>
      <c r="B533" s="23" t="s">
        <v>1599</v>
      </c>
      <c r="C533" s="275" t="s">
        <v>1617</v>
      </c>
      <c r="D533" s="351">
        <v>210000</v>
      </c>
      <c r="E533" s="23" t="s">
        <v>14</v>
      </c>
      <c r="F533" s="23" t="s">
        <v>1618</v>
      </c>
      <c r="G533" s="23" t="s">
        <v>187</v>
      </c>
      <c r="H533" s="23" t="s">
        <v>72</v>
      </c>
      <c r="I533" s="23" t="s">
        <v>14</v>
      </c>
    </row>
    <row r="534" spans="1:9" ht="64.8" customHeight="1" x14ac:dyDescent="0.35">
      <c r="A534" s="23" t="s">
        <v>1603</v>
      </c>
      <c r="B534" s="23" t="s">
        <v>859</v>
      </c>
      <c r="C534" s="275" t="s">
        <v>1619</v>
      </c>
      <c r="D534" s="351">
        <v>90000</v>
      </c>
      <c r="E534" s="23" t="s">
        <v>14</v>
      </c>
      <c r="F534" s="23">
        <v>72000000</v>
      </c>
      <c r="G534" s="23" t="s">
        <v>187</v>
      </c>
      <c r="H534" s="23" t="s">
        <v>72</v>
      </c>
      <c r="I534" s="23" t="s">
        <v>14</v>
      </c>
    </row>
    <row r="535" spans="1:9" ht="64.8" customHeight="1" x14ac:dyDescent="0.35">
      <c r="A535" s="23" t="s">
        <v>1603</v>
      </c>
      <c r="B535" s="23" t="s">
        <v>859</v>
      </c>
      <c r="C535" s="275" t="s">
        <v>1620</v>
      </c>
      <c r="D535" s="351">
        <v>20000</v>
      </c>
      <c r="E535" s="23" t="s">
        <v>14</v>
      </c>
      <c r="F535" s="23">
        <v>72000000</v>
      </c>
      <c r="G535" s="23" t="s">
        <v>120</v>
      </c>
      <c r="H535" s="23" t="s">
        <v>72</v>
      </c>
      <c r="I535" s="23" t="s">
        <v>14</v>
      </c>
    </row>
    <row r="536" spans="1:9" ht="64.8" customHeight="1" x14ac:dyDescent="0.35">
      <c r="A536" s="23" t="s">
        <v>1603</v>
      </c>
      <c r="B536" s="23" t="s">
        <v>859</v>
      </c>
      <c r="C536" s="275" t="s">
        <v>1621</v>
      </c>
      <c r="D536" s="351">
        <v>45000</v>
      </c>
      <c r="E536" s="23" t="s">
        <v>14</v>
      </c>
      <c r="F536" s="23">
        <v>72000000</v>
      </c>
      <c r="G536" s="23" t="s">
        <v>120</v>
      </c>
      <c r="H536" s="23" t="s">
        <v>72</v>
      </c>
      <c r="I536" s="23" t="s">
        <v>14</v>
      </c>
    </row>
    <row r="537" spans="1:9" ht="64.8" customHeight="1" x14ac:dyDescent="0.35">
      <c r="A537" s="23" t="s">
        <v>1603</v>
      </c>
      <c r="B537" s="23" t="s">
        <v>859</v>
      </c>
      <c r="C537" s="275" t="s">
        <v>1622</v>
      </c>
      <c r="D537" s="351">
        <v>60000</v>
      </c>
      <c r="E537" s="23" t="s">
        <v>14</v>
      </c>
      <c r="F537" s="23">
        <v>72000000</v>
      </c>
      <c r="G537" s="23" t="s">
        <v>187</v>
      </c>
      <c r="H537" s="23" t="s">
        <v>72</v>
      </c>
      <c r="I537" s="23" t="s">
        <v>14</v>
      </c>
    </row>
    <row r="538" spans="1:9" ht="64.8" customHeight="1" x14ac:dyDescent="0.35">
      <c r="A538" s="23" t="s">
        <v>1603</v>
      </c>
      <c r="B538" s="23" t="s">
        <v>859</v>
      </c>
      <c r="C538" s="275" t="s">
        <v>1623</v>
      </c>
      <c r="D538" s="351">
        <v>45000</v>
      </c>
      <c r="E538" s="23" t="s">
        <v>14</v>
      </c>
      <c r="F538" s="23">
        <v>72000000</v>
      </c>
      <c r="G538" s="23" t="s">
        <v>187</v>
      </c>
      <c r="H538" s="23" t="s">
        <v>72</v>
      </c>
      <c r="I538" s="23" t="s">
        <v>14</v>
      </c>
    </row>
    <row r="539" spans="1:9" ht="46.8" x14ac:dyDescent="0.35">
      <c r="A539" s="23" t="s">
        <v>1624</v>
      </c>
      <c r="B539" s="23" t="s">
        <v>859</v>
      </c>
      <c r="C539" s="275" t="s">
        <v>1625</v>
      </c>
      <c r="D539" s="351">
        <v>174245.28</v>
      </c>
      <c r="E539" s="23" t="s">
        <v>14</v>
      </c>
      <c r="F539" s="23">
        <v>79414000</v>
      </c>
      <c r="G539" s="23" t="s">
        <v>77</v>
      </c>
      <c r="H539" s="23" t="s">
        <v>72</v>
      </c>
      <c r="I539" s="110" t="s">
        <v>14</v>
      </c>
    </row>
    <row r="540" spans="1:9" ht="46.8" x14ac:dyDescent="0.35">
      <c r="A540" s="23" t="s">
        <v>1624</v>
      </c>
      <c r="B540" s="23" t="s">
        <v>13</v>
      </c>
      <c r="C540" s="275" t="s">
        <v>1626</v>
      </c>
      <c r="D540" s="351">
        <v>96000</v>
      </c>
      <c r="E540" s="23" t="s">
        <v>14</v>
      </c>
      <c r="F540" s="23" t="s">
        <v>1627</v>
      </c>
      <c r="G540" s="23" t="s">
        <v>77</v>
      </c>
      <c r="H540" s="23" t="s">
        <v>72</v>
      </c>
      <c r="I540" s="110" t="s">
        <v>14</v>
      </c>
    </row>
    <row r="541" spans="1:9" ht="46.8" x14ac:dyDescent="0.35">
      <c r="A541" s="23" t="s">
        <v>1624</v>
      </c>
      <c r="B541" s="23" t="s">
        <v>13</v>
      </c>
      <c r="C541" s="275" t="s">
        <v>1628</v>
      </c>
      <c r="D541" s="351">
        <v>105000</v>
      </c>
      <c r="E541" s="23" t="s">
        <v>14</v>
      </c>
      <c r="F541" s="23">
        <v>42415000</v>
      </c>
      <c r="G541" s="23" t="s">
        <v>77</v>
      </c>
      <c r="H541" s="23" t="s">
        <v>72</v>
      </c>
      <c r="I541" s="110" t="s">
        <v>14</v>
      </c>
    </row>
    <row r="542" spans="1:9" ht="46.8" x14ac:dyDescent="0.35">
      <c r="A542" s="23" t="s">
        <v>1624</v>
      </c>
      <c r="B542" s="23" t="s">
        <v>859</v>
      </c>
      <c r="C542" s="275" t="s">
        <v>1629</v>
      </c>
      <c r="D542" s="351">
        <v>75481.41</v>
      </c>
      <c r="E542" s="23" t="s">
        <v>14</v>
      </c>
      <c r="F542" s="23">
        <v>50750000</v>
      </c>
      <c r="G542" s="23" t="s">
        <v>77</v>
      </c>
      <c r="H542" s="23" t="s">
        <v>72</v>
      </c>
      <c r="I542" s="110" t="s">
        <v>14</v>
      </c>
    </row>
    <row r="543" spans="1:9" ht="46.8" x14ac:dyDescent="0.35">
      <c r="A543" s="23" t="s">
        <v>1624</v>
      </c>
      <c r="B543" s="23" t="s">
        <v>859</v>
      </c>
      <c r="C543" s="275" t="s">
        <v>1630</v>
      </c>
      <c r="D543" s="351">
        <v>43008</v>
      </c>
      <c r="E543" s="23" t="s">
        <v>14</v>
      </c>
      <c r="F543" s="23" t="s">
        <v>1631</v>
      </c>
      <c r="G543" s="23" t="s">
        <v>77</v>
      </c>
      <c r="H543" s="23" t="s">
        <v>72</v>
      </c>
      <c r="I543" s="23" t="s">
        <v>14</v>
      </c>
    </row>
    <row r="544" spans="1:9" ht="46.8" x14ac:dyDescent="0.35">
      <c r="A544" s="23" t="s">
        <v>1624</v>
      </c>
      <c r="B544" s="23" t="s">
        <v>859</v>
      </c>
      <c r="C544" s="275" t="s">
        <v>1632</v>
      </c>
      <c r="D544" s="351">
        <v>48000</v>
      </c>
      <c r="E544" s="23" t="s">
        <v>14</v>
      </c>
      <c r="F544" s="23">
        <v>72000000</v>
      </c>
      <c r="G544" s="23" t="s">
        <v>77</v>
      </c>
      <c r="H544" s="23" t="s">
        <v>72</v>
      </c>
      <c r="I544" s="23" t="s">
        <v>14</v>
      </c>
    </row>
    <row r="545" spans="1:9" ht="46.8" x14ac:dyDescent="0.35">
      <c r="A545" s="23" t="s">
        <v>1624</v>
      </c>
      <c r="B545" s="23" t="s">
        <v>859</v>
      </c>
      <c r="C545" s="275" t="s">
        <v>1633</v>
      </c>
      <c r="D545" s="351">
        <v>43500</v>
      </c>
      <c r="E545" s="23" t="s">
        <v>14</v>
      </c>
      <c r="F545" s="23">
        <v>79212000</v>
      </c>
      <c r="G545" s="23" t="s">
        <v>77</v>
      </c>
      <c r="H545" s="23" t="s">
        <v>72</v>
      </c>
      <c r="I545" s="23" t="s">
        <v>14</v>
      </c>
    </row>
    <row r="546" spans="1:9" ht="46.8" x14ac:dyDescent="0.35">
      <c r="A546" s="23" t="s">
        <v>1624</v>
      </c>
      <c r="B546" s="57" t="s">
        <v>859</v>
      </c>
      <c r="C546" s="275" t="s">
        <v>1634</v>
      </c>
      <c r="D546" s="352">
        <v>50280</v>
      </c>
      <c r="E546" s="57" t="s">
        <v>14</v>
      </c>
      <c r="F546" s="57" t="s">
        <v>1635</v>
      </c>
      <c r="G546" s="86" t="s">
        <v>202</v>
      </c>
      <c r="H546" s="57" t="s">
        <v>14</v>
      </c>
      <c r="I546" s="57" t="s">
        <v>14</v>
      </c>
    </row>
    <row r="547" spans="1:9" ht="46.8" x14ac:dyDescent="0.35">
      <c r="A547" s="23" t="s">
        <v>1624</v>
      </c>
      <c r="B547" s="23" t="s">
        <v>13</v>
      </c>
      <c r="C547" s="275" t="s">
        <v>1636</v>
      </c>
      <c r="D547" s="351">
        <v>83215.759999999995</v>
      </c>
      <c r="E547" s="23" t="s">
        <v>14</v>
      </c>
      <c r="F547" s="23">
        <v>9123000</v>
      </c>
      <c r="G547" s="26" t="s">
        <v>77</v>
      </c>
      <c r="H547" s="23" t="s">
        <v>14</v>
      </c>
      <c r="I547" s="23" t="s">
        <v>14</v>
      </c>
    </row>
    <row r="548" spans="1:9" ht="46.8" x14ac:dyDescent="0.35">
      <c r="A548" s="23" t="s">
        <v>1624</v>
      </c>
      <c r="B548" s="23" t="s">
        <v>859</v>
      </c>
      <c r="C548" s="275" t="s">
        <v>1637</v>
      </c>
      <c r="D548" s="351">
        <v>46800</v>
      </c>
      <c r="E548" s="23" t="s">
        <v>14</v>
      </c>
      <c r="F548" s="23">
        <v>50800000</v>
      </c>
      <c r="G548" s="23" t="s">
        <v>77</v>
      </c>
      <c r="H548" s="23" t="s">
        <v>72</v>
      </c>
      <c r="I548" s="23" t="s">
        <v>14</v>
      </c>
    </row>
    <row r="549" spans="1:9" ht="46.8" x14ac:dyDescent="0.35">
      <c r="A549" s="23" t="s">
        <v>1624</v>
      </c>
      <c r="B549" s="23" t="s">
        <v>859</v>
      </c>
      <c r="C549" s="275" t="s">
        <v>1638</v>
      </c>
      <c r="D549" s="351">
        <v>48600</v>
      </c>
      <c r="E549" s="23" t="s">
        <v>14</v>
      </c>
      <c r="F549" s="23">
        <v>71317000</v>
      </c>
      <c r="G549" s="23" t="s">
        <v>77</v>
      </c>
      <c r="H549" s="23" t="s">
        <v>72</v>
      </c>
      <c r="I549" s="23" t="s">
        <v>14</v>
      </c>
    </row>
    <row r="550" spans="1:9" ht="46.8" x14ac:dyDescent="0.35">
      <c r="A550" s="23" t="s">
        <v>1624</v>
      </c>
      <c r="B550" s="23" t="s">
        <v>859</v>
      </c>
      <c r="C550" s="275" t="s">
        <v>1639</v>
      </c>
      <c r="D550" s="351">
        <v>827310</v>
      </c>
      <c r="E550" s="23" t="s">
        <v>14</v>
      </c>
      <c r="F550" s="23">
        <v>79340000</v>
      </c>
      <c r="G550" s="23" t="s">
        <v>77</v>
      </c>
      <c r="H550" s="23" t="s">
        <v>72</v>
      </c>
      <c r="I550" s="23" t="s">
        <v>14</v>
      </c>
    </row>
    <row r="551" spans="1:9" ht="46.8" x14ac:dyDescent="0.35">
      <c r="A551" s="23" t="s">
        <v>1624</v>
      </c>
      <c r="B551" s="23" t="s">
        <v>859</v>
      </c>
      <c r="C551" s="275" t="s">
        <v>1640</v>
      </c>
      <c r="D551" s="351">
        <v>640920</v>
      </c>
      <c r="E551" s="23" t="s">
        <v>14</v>
      </c>
      <c r="F551" s="23">
        <v>50700000</v>
      </c>
      <c r="G551" s="23" t="s">
        <v>77</v>
      </c>
      <c r="H551" s="23" t="s">
        <v>72</v>
      </c>
      <c r="I551" s="23" t="s">
        <v>14</v>
      </c>
    </row>
    <row r="552" spans="1:9" ht="46.8" x14ac:dyDescent="0.35">
      <c r="A552" s="23" t="s">
        <v>1624</v>
      </c>
      <c r="B552" s="23" t="s">
        <v>859</v>
      </c>
      <c r="C552" s="275" t="s">
        <v>1641</v>
      </c>
      <c r="D552" s="351">
        <v>600000</v>
      </c>
      <c r="E552" s="23" t="s">
        <v>14</v>
      </c>
      <c r="F552" s="23" t="s">
        <v>1642</v>
      </c>
      <c r="G552" s="23" t="s">
        <v>77</v>
      </c>
      <c r="H552" s="23" t="s">
        <v>72</v>
      </c>
      <c r="I552" s="23" t="s">
        <v>14</v>
      </c>
    </row>
    <row r="553" spans="1:9" ht="46.8" x14ac:dyDescent="0.35">
      <c r="A553" s="23" t="s">
        <v>1624</v>
      </c>
      <c r="B553" s="23" t="s">
        <v>859</v>
      </c>
      <c r="C553" s="275" t="s">
        <v>1643</v>
      </c>
      <c r="D553" s="351">
        <v>49942.3</v>
      </c>
      <c r="E553" s="23" t="s">
        <v>14</v>
      </c>
      <c r="F553" s="23" t="s">
        <v>1644</v>
      </c>
      <c r="G553" s="23" t="s">
        <v>77</v>
      </c>
      <c r="H553" s="23" t="s">
        <v>14</v>
      </c>
      <c r="I553" s="23" t="s">
        <v>14</v>
      </c>
    </row>
    <row r="554" spans="1:9" ht="46.8" x14ac:dyDescent="0.35">
      <c r="A554" s="23" t="s">
        <v>1624</v>
      </c>
      <c r="B554" s="23" t="s">
        <v>859</v>
      </c>
      <c r="C554" s="275" t="s">
        <v>1645</v>
      </c>
      <c r="D554" s="351">
        <v>41340</v>
      </c>
      <c r="E554" s="23" t="s">
        <v>14</v>
      </c>
      <c r="F554" s="23" t="s">
        <v>1646</v>
      </c>
      <c r="G554" s="23" t="s">
        <v>77</v>
      </c>
      <c r="H554" s="23" t="s">
        <v>72</v>
      </c>
      <c r="I554" s="23" t="s">
        <v>14</v>
      </c>
    </row>
    <row r="555" spans="1:9" ht="46.8" x14ac:dyDescent="0.35">
      <c r="A555" s="23" t="s">
        <v>1624</v>
      </c>
      <c r="B555" s="23" t="s">
        <v>859</v>
      </c>
      <c r="C555" s="275" t="s">
        <v>1647</v>
      </c>
      <c r="D555" s="351">
        <v>79313.850000000006</v>
      </c>
      <c r="E555" s="23" t="s">
        <v>14</v>
      </c>
      <c r="F555" s="33" t="s">
        <v>1648</v>
      </c>
      <c r="G555" s="23" t="s">
        <v>77</v>
      </c>
      <c r="H555" s="23" t="s">
        <v>72</v>
      </c>
      <c r="I555" s="23" t="s">
        <v>14</v>
      </c>
    </row>
    <row r="556" spans="1:9" ht="46.8" x14ac:dyDescent="0.35">
      <c r="A556" s="23" t="s">
        <v>1624</v>
      </c>
      <c r="B556" s="57" t="s">
        <v>859</v>
      </c>
      <c r="C556" s="275" t="s">
        <v>1649</v>
      </c>
      <c r="D556" s="352">
        <v>120000</v>
      </c>
      <c r="E556" s="57" t="s">
        <v>14</v>
      </c>
      <c r="F556" s="23">
        <v>71221000</v>
      </c>
      <c r="G556" s="57" t="s">
        <v>91</v>
      </c>
      <c r="H556" s="57" t="s">
        <v>14</v>
      </c>
      <c r="I556" s="57" t="s">
        <v>14</v>
      </c>
    </row>
    <row r="557" spans="1:9" ht="46.8" x14ac:dyDescent="0.35">
      <c r="A557" s="23" t="s">
        <v>1624</v>
      </c>
      <c r="B557" s="57" t="s">
        <v>13</v>
      </c>
      <c r="C557" s="275" t="s">
        <v>1650</v>
      </c>
      <c r="D557" s="352">
        <v>25000</v>
      </c>
      <c r="E557" s="57" t="s">
        <v>14</v>
      </c>
      <c r="F557" s="23">
        <v>30231300</v>
      </c>
      <c r="G557" s="57" t="s">
        <v>49</v>
      </c>
      <c r="H557" s="57" t="s">
        <v>14</v>
      </c>
      <c r="I557" s="57" t="s">
        <v>14</v>
      </c>
    </row>
    <row r="560" spans="1:9" ht="18.75" customHeight="1" x14ac:dyDescent="0.35">
      <c r="A560" s="250" t="s">
        <v>1651</v>
      </c>
      <c r="B560" s="250"/>
      <c r="C560" s="250"/>
      <c r="D560" s="250"/>
      <c r="E560" s="250"/>
      <c r="F560" s="250"/>
      <c r="G560" s="250"/>
      <c r="H560" s="250"/>
      <c r="I560" s="250"/>
    </row>
    <row r="561" spans="1:9" ht="17.7" customHeight="1" x14ac:dyDescent="0.35">
      <c r="B561" s="61"/>
      <c r="C561" s="269"/>
      <c r="D561" s="353"/>
      <c r="E561" s="61"/>
      <c r="F561" s="38"/>
      <c r="G561" s="285"/>
      <c r="H561" s="38"/>
      <c r="I561" s="61"/>
    </row>
    <row r="562" spans="1:9" x14ac:dyDescent="0.35">
      <c r="A562" s="254" t="s">
        <v>857</v>
      </c>
      <c r="B562" s="271" t="s">
        <v>2</v>
      </c>
      <c r="C562" s="271" t="s">
        <v>4</v>
      </c>
      <c r="D562" s="271" t="s">
        <v>5</v>
      </c>
      <c r="E562" s="271" t="s">
        <v>6</v>
      </c>
      <c r="F562" s="271" t="s">
        <v>8</v>
      </c>
      <c r="G562" s="271" t="s">
        <v>9</v>
      </c>
      <c r="H562" s="271" t="s">
        <v>10</v>
      </c>
      <c r="I562" s="271" t="s">
        <v>11</v>
      </c>
    </row>
    <row r="563" spans="1:9" ht="35.1" customHeight="1" x14ac:dyDescent="0.35">
      <c r="A563" s="254"/>
      <c r="B563" s="304"/>
      <c r="C563" s="304"/>
      <c r="D563" s="304"/>
      <c r="E563" s="304"/>
      <c r="F563" s="304"/>
      <c r="G563" s="304"/>
      <c r="H563" s="304"/>
      <c r="I563" s="304"/>
    </row>
    <row r="564" spans="1:9" ht="62.4" x14ac:dyDescent="0.35">
      <c r="A564" s="23" t="s">
        <v>1652</v>
      </c>
      <c r="B564" s="23" t="s">
        <v>13</v>
      </c>
      <c r="C564" s="282" t="s">
        <v>1653</v>
      </c>
      <c r="D564" s="352">
        <v>37295.79</v>
      </c>
      <c r="E564" s="23" t="s">
        <v>14</v>
      </c>
      <c r="F564" s="354">
        <v>34144450</v>
      </c>
      <c r="G564" s="23" t="s">
        <v>49</v>
      </c>
      <c r="H564" s="23" t="s">
        <v>14</v>
      </c>
      <c r="I564" s="23" t="s">
        <v>14</v>
      </c>
    </row>
    <row r="565" spans="1:9" ht="62.4" x14ac:dyDescent="0.35">
      <c r="A565" s="23" t="s">
        <v>1652</v>
      </c>
      <c r="B565" s="23" t="s">
        <v>13</v>
      </c>
      <c r="C565" s="275" t="s">
        <v>1654</v>
      </c>
      <c r="D565" s="352">
        <v>24445.919999999998</v>
      </c>
      <c r="E565" s="23" t="s">
        <v>14</v>
      </c>
      <c r="F565" s="23">
        <v>39713400</v>
      </c>
      <c r="G565" s="23" t="s">
        <v>46</v>
      </c>
      <c r="H565" s="23" t="s">
        <v>14</v>
      </c>
      <c r="I565" s="23" t="s">
        <v>14</v>
      </c>
    </row>
    <row r="566" spans="1:9" ht="62.4" x14ac:dyDescent="0.35">
      <c r="A566" s="23" t="s">
        <v>1652</v>
      </c>
      <c r="B566" s="23" t="s">
        <v>13</v>
      </c>
      <c r="C566" s="275" t="s">
        <v>1655</v>
      </c>
      <c r="D566" s="351">
        <v>39574.28</v>
      </c>
      <c r="E566" s="23" t="s">
        <v>14</v>
      </c>
      <c r="F566" s="23" t="s">
        <v>1656</v>
      </c>
      <c r="G566" s="23" t="s">
        <v>91</v>
      </c>
      <c r="H566" s="23" t="s">
        <v>14</v>
      </c>
      <c r="I566" s="23" t="s">
        <v>14</v>
      </c>
    </row>
    <row r="567" spans="1:9" ht="46.8" x14ac:dyDescent="0.35">
      <c r="A567" s="23" t="s">
        <v>1657</v>
      </c>
      <c r="B567" s="23" t="s">
        <v>859</v>
      </c>
      <c r="C567" s="252" t="s">
        <v>1658</v>
      </c>
      <c r="D567" s="351">
        <v>53838.52</v>
      </c>
      <c r="E567" s="23" t="s">
        <v>14</v>
      </c>
      <c r="F567" s="23" t="s">
        <v>299</v>
      </c>
      <c r="G567" s="26" t="s">
        <v>18</v>
      </c>
      <c r="H567" s="23" t="s">
        <v>72</v>
      </c>
      <c r="I567" s="23" t="s">
        <v>14</v>
      </c>
    </row>
    <row r="568" spans="1:9" ht="46.8" x14ac:dyDescent="0.35">
      <c r="A568" s="23" t="s">
        <v>1657</v>
      </c>
      <c r="B568" s="23" t="s">
        <v>859</v>
      </c>
      <c r="C568" s="275" t="s">
        <v>1659</v>
      </c>
      <c r="D568" s="351">
        <v>41261.53</v>
      </c>
      <c r="E568" s="23" t="s">
        <v>14</v>
      </c>
      <c r="F568" s="23" t="s">
        <v>796</v>
      </c>
      <c r="G568" s="26" t="s">
        <v>18</v>
      </c>
      <c r="H568" s="23" t="s">
        <v>72</v>
      </c>
      <c r="I568" s="23" t="s">
        <v>14</v>
      </c>
    </row>
    <row r="569" spans="1:9" ht="93.6" x14ac:dyDescent="0.35">
      <c r="A569" s="23" t="s">
        <v>1652</v>
      </c>
      <c r="B569" s="23" t="s">
        <v>13</v>
      </c>
      <c r="C569" s="275" t="s">
        <v>1660</v>
      </c>
      <c r="D569" s="351">
        <v>54870.45</v>
      </c>
      <c r="E569" s="23" t="s">
        <v>14</v>
      </c>
      <c r="F569" s="23" t="s">
        <v>1661</v>
      </c>
      <c r="G569" s="26" t="s">
        <v>18</v>
      </c>
      <c r="H569" s="23" t="s">
        <v>72</v>
      </c>
      <c r="I569" s="23" t="s">
        <v>14</v>
      </c>
    </row>
    <row r="570" spans="1:9" ht="46.8" x14ac:dyDescent="0.35">
      <c r="A570" s="23" t="s">
        <v>1657</v>
      </c>
      <c r="B570" s="23" t="s">
        <v>859</v>
      </c>
      <c r="C570" s="275" t="s">
        <v>1662</v>
      </c>
      <c r="D570" s="351">
        <v>6871.3</v>
      </c>
      <c r="E570" s="23" t="s">
        <v>14</v>
      </c>
      <c r="F570" s="23" t="s">
        <v>250</v>
      </c>
      <c r="G570" s="26" t="s">
        <v>18</v>
      </c>
      <c r="H570" s="23" t="s">
        <v>72</v>
      </c>
      <c r="I570" s="23" t="s">
        <v>14</v>
      </c>
    </row>
    <row r="571" spans="1:9" ht="46.8" x14ac:dyDescent="0.35">
      <c r="A571" s="23" t="s">
        <v>1657</v>
      </c>
      <c r="B571" s="23" t="s">
        <v>859</v>
      </c>
      <c r="C571" s="275" t="s">
        <v>1663</v>
      </c>
      <c r="D571" s="351">
        <v>12000</v>
      </c>
      <c r="E571" s="23" t="s">
        <v>14</v>
      </c>
      <c r="F571" s="23" t="s">
        <v>250</v>
      </c>
      <c r="G571" s="26" t="s">
        <v>18</v>
      </c>
      <c r="H571" s="23" t="s">
        <v>72</v>
      </c>
      <c r="I571" s="23" t="s">
        <v>14</v>
      </c>
    </row>
    <row r="572" spans="1:9" ht="78" x14ac:dyDescent="0.35">
      <c r="A572" s="23" t="s">
        <v>1657</v>
      </c>
      <c r="B572" s="23" t="s">
        <v>859</v>
      </c>
      <c r="C572" s="275" t="s">
        <v>1664</v>
      </c>
      <c r="D572" s="351">
        <v>20985</v>
      </c>
      <c r="E572" s="23" t="s">
        <v>14</v>
      </c>
      <c r="F572" s="23">
        <v>90922000</v>
      </c>
      <c r="G572" s="26" t="s">
        <v>18</v>
      </c>
      <c r="H572" s="23" t="s">
        <v>72</v>
      </c>
      <c r="I572" s="23" t="s">
        <v>14</v>
      </c>
    </row>
    <row r="573" spans="1:9" ht="46.8" x14ac:dyDescent="0.35">
      <c r="A573" s="23" t="s">
        <v>1657</v>
      </c>
      <c r="B573" s="23" t="s">
        <v>859</v>
      </c>
      <c r="C573" s="275" t="s">
        <v>1665</v>
      </c>
      <c r="D573" s="351">
        <v>11678.49</v>
      </c>
      <c r="E573" s="23" t="s">
        <v>14</v>
      </c>
      <c r="F573" s="23" t="s">
        <v>1666</v>
      </c>
      <c r="G573" s="26" t="s">
        <v>187</v>
      </c>
      <c r="H573" s="23" t="s">
        <v>14</v>
      </c>
      <c r="I573" s="23" t="s">
        <v>14</v>
      </c>
    </row>
    <row r="574" spans="1:9" ht="62.4" x14ac:dyDescent="0.35">
      <c r="A574" s="23" t="s">
        <v>1652</v>
      </c>
      <c r="B574" s="23" t="s">
        <v>859</v>
      </c>
      <c r="C574" s="275" t="s">
        <v>1667</v>
      </c>
      <c r="D574" s="351">
        <v>99798.28</v>
      </c>
      <c r="E574" s="23" t="s">
        <v>14</v>
      </c>
      <c r="F574" s="23" t="s">
        <v>796</v>
      </c>
      <c r="G574" s="26" t="s">
        <v>18</v>
      </c>
      <c r="H574" s="23" t="s">
        <v>72</v>
      </c>
      <c r="I574" s="23" t="s">
        <v>14</v>
      </c>
    </row>
    <row r="575" spans="1:9" ht="62.4" x14ac:dyDescent="0.35">
      <c r="A575" s="23" t="s">
        <v>1657</v>
      </c>
      <c r="B575" s="23" t="s">
        <v>859</v>
      </c>
      <c r="C575" s="275" t="s">
        <v>1668</v>
      </c>
      <c r="D575" s="351">
        <v>12356.3</v>
      </c>
      <c r="E575" s="23" t="s">
        <v>14</v>
      </c>
      <c r="F575" s="23" t="s">
        <v>1669</v>
      </c>
      <c r="G575" s="26" t="s">
        <v>187</v>
      </c>
      <c r="H575" s="23" t="s">
        <v>14</v>
      </c>
      <c r="I575" s="23" t="s">
        <v>14</v>
      </c>
    </row>
    <row r="576" spans="1:9" ht="62.4" x14ac:dyDescent="0.35">
      <c r="A576" s="23" t="s">
        <v>1652</v>
      </c>
      <c r="B576" s="23" t="s">
        <v>50</v>
      </c>
      <c r="C576" s="275" t="s">
        <v>1670</v>
      </c>
      <c r="D576" s="351">
        <v>45000</v>
      </c>
      <c r="E576" s="23" t="s">
        <v>14</v>
      </c>
      <c r="F576" s="149" t="s">
        <v>1671</v>
      </c>
      <c r="G576" s="26" t="s">
        <v>91</v>
      </c>
      <c r="H576" s="23" t="s">
        <v>14</v>
      </c>
      <c r="I576" s="23" t="s">
        <v>14</v>
      </c>
    </row>
    <row r="578" spans="1:9" ht="18.75" customHeight="1" x14ac:dyDescent="0.35">
      <c r="A578" s="250" t="s">
        <v>1672</v>
      </c>
      <c r="B578" s="250"/>
      <c r="C578" s="250"/>
      <c r="D578" s="250"/>
      <c r="E578" s="250"/>
      <c r="F578" s="250"/>
      <c r="G578" s="250"/>
      <c r="H578" s="250"/>
      <c r="I578" s="250"/>
    </row>
    <row r="579" spans="1:9" x14ac:dyDescent="0.35">
      <c r="E579" s="31"/>
    </row>
    <row r="580" spans="1:9" x14ac:dyDescent="0.35">
      <c r="A580" s="254" t="s">
        <v>857</v>
      </c>
      <c r="B580" s="271" t="s">
        <v>2</v>
      </c>
      <c r="C580" s="271" t="s">
        <v>4</v>
      </c>
      <c r="D580" s="271" t="s">
        <v>5</v>
      </c>
      <c r="E580" s="271" t="s">
        <v>6</v>
      </c>
      <c r="F580" s="271" t="s">
        <v>8</v>
      </c>
      <c r="G580" s="271" t="s">
        <v>9</v>
      </c>
      <c r="H580" s="271" t="s">
        <v>10</v>
      </c>
      <c r="I580" s="271" t="s">
        <v>11</v>
      </c>
    </row>
    <row r="581" spans="1:9" ht="35.1" customHeight="1" x14ac:dyDescent="0.35">
      <c r="A581" s="254"/>
      <c r="B581" s="304"/>
      <c r="C581" s="304"/>
      <c r="D581" s="304"/>
      <c r="E581" s="304"/>
      <c r="F581" s="304"/>
      <c r="G581" s="304"/>
      <c r="H581" s="304"/>
      <c r="I581" s="304"/>
    </row>
    <row r="582" spans="1:9" ht="31.2" x14ac:dyDescent="0.35">
      <c r="A582" s="23" t="s">
        <v>1673</v>
      </c>
      <c r="B582" s="23" t="s">
        <v>859</v>
      </c>
      <c r="C582" s="275" t="s">
        <v>1674</v>
      </c>
      <c r="D582" s="295">
        <f>(414326*2)/1.21</f>
        <v>684836.36363636365</v>
      </c>
      <c r="E582" s="23" t="s">
        <v>72</v>
      </c>
      <c r="F582" s="23">
        <v>90911000</v>
      </c>
      <c r="G582" s="26" t="s">
        <v>270</v>
      </c>
      <c r="H582" s="23" t="s">
        <v>72</v>
      </c>
      <c r="I582" s="23" t="s">
        <v>72</v>
      </c>
    </row>
    <row r="583" spans="1:9" ht="31.2" x14ac:dyDescent="0.35">
      <c r="A583" s="23" t="s">
        <v>1673</v>
      </c>
      <c r="B583" s="23" t="s">
        <v>859</v>
      </c>
      <c r="C583" s="275" t="s">
        <v>1675</v>
      </c>
      <c r="D583" s="295">
        <f>(21344*5)/1.21</f>
        <v>88198.347107438021</v>
      </c>
      <c r="E583" s="23" t="s">
        <v>14</v>
      </c>
      <c r="F583" s="23" t="s">
        <v>1676</v>
      </c>
      <c r="G583" s="26" t="s">
        <v>792</v>
      </c>
      <c r="H583" s="23" t="s">
        <v>72</v>
      </c>
      <c r="I583" s="23" t="s">
        <v>14</v>
      </c>
    </row>
    <row r="584" spans="1:9" ht="31.2" x14ac:dyDescent="0.35">
      <c r="A584" s="23" t="s">
        <v>1673</v>
      </c>
      <c r="B584" s="23" t="s">
        <v>13</v>
      </c>
      <c r="C584" s="275" t="s">
        <v>1677</v>
      </c>
      <c r="D584" s="295">
        <f>(24000*2)/1.21</f>
        <v>39669.421487603307</v>
      </c>
      <c r="E584" s="23" t="s">
        <v>14</v>
      </c>
      <c r="F584" s="23" t="s">
        <v>1678</v>
      </c>
      <c r="G584" s="26" t="s">
        <v>270</v>
      </c>
      <c r="H584" s="23" t="s">
        <v>14</v>
      </c>
      <c r="I584" s="23" t="s">
        <v>14</v>
      </c>
    </row>
    <row r="585" spans="1:9" ht="31.2" x14ac:dyDescent="0.35">
      <c r="A585" s="23" t="s">
        <v>1673</v>
      </c>
      <c r="B585" s="23" t="s">
        <v>13</v>
      </c>
      <c r="C585" s="275" t="s">
        <v>1679</v>
      </c>
      <c r="D585" s="295">
        <f>(5000*3)/1.21</f>
        <v>12396.694214876034</v>
      </c>
      <c r="E585" s="23" t="s">
        <v>14</v>
      </c>
      <c r="F585" s="23" t="s">
        <v>1680</v>
      </c>
      <c r="G585" s="26" t="s">
        <v>1004</v>
      </c>
      <c r="H585" s="23" t="s">
        <v>72</v>
      </c>
      <c r="I585" s="23" t="s">
        <v>14</v>
      </c>
    </row>
    <row r="586" spans="1:9" ht="31.2" x14ac:dyDescent="0.35">
      <c r="A586" s="23" t="s">
        <v>1673</v>
      </c>
      <c r="B586" s="23" t="s">
        <v>859</v>
      </c>
      <c r="C586" s="275" t="s">
        <v>1681</v>
      </c>
      <c r="D586" s="295">
        <f>(5000*3)/1.21</f>
        <v>12396.694214876034</v>
      </c>
      <c r="E586" s="23" t="s">
        <v>14</v>
      </c>
      <c r="F586" s="23">
        <v>79212000</v>
      </c>
      <c r="G586" s="26" t="s">
        <v>1004</v>
      </c>
      <c r="H586" s="23" t="s">
        <v>14</v>
      </c>
      <c r="I586" s="23" t="s">
        <v>14</v>
      </c>
    </row>
    <row r="587" spans="1:9" ht="31.2" x14ac:dyDescent="0.35">
      <c r="A587" s="23" t="s">
        <v>1673</v>
      </c>
      <c r="B587" s="23" t="s">
        <v>859</v>
      </c>
      <c r="C587" s="275" t="s">
        <v>1682</v>
      </c>
      <c r="D587" s="295">
        <f>(289917*2)/1.21</f>
        <v>479201.65289256198</v>
      </c>
      <c r="E587" s="23" t="s">
        <v>14</v>
      </c>
      <c r="F587" s="23">
        <v>90911000</v>
      </c>
      <c r="G587" s="26" t="s">
        <v>270</v>
      </c>
      <c r="H587" s="23" t="s">
        <v>72</v>
      </c>
      <c r="I587" s="23" t="s">
        <v>72</v>
      </c>
    </row>
    <row r="589" spans="1:9" ht="23.25" customHeight="1" x14ac:dyDescent="0.35">
      <c r="A589" s="250" t="s">
        <v>1683</v>
      </c>
      <c r="B589" s="250"/>
      <c r="C589" s="250"/>
      <c r="D589" s="250"/>
      <c r="E589" s="250"/>
      <c r="F589" s="250"/>
      <c r="G589" s="250"/>
      <c r="H589" s="250"/>
      <c r="I589" s="250"/>
    </row>
    <row r="590" spans="1:9" x14ac:dyDescent="0.35">
      <c r="E590" s="31"/>
    </row>
    <row r="591" spans="1:9" x14ac:dyDescent="0.35">
      <c r="A591" s="254" t="s">
        <v>857</v>
      </c>
      <c r="B591" s="254" t="s">
        <v>2</v>
      </c>
      <c r="C591" s="271" t="s">
        <v>4</v>
      </c>
      <c r="D591" s="254" t="s">
        <v>5</v>
      </c>
      <c r="E591" s="254" t="s">
        <v>6</v>
      </c>
      <c r="F591" s="254" t="s">
        <v>8</v>
      </c>
      <c r="G591" s="254" t="s">
        <v>9</v>
      </c>
      <c r="H591" s="254" t="s">
        <v>10</v>
      </c>
      <c r="I591" s="254" t="s">
        <v>11</v>
      </c>
    </row>
    <row r="592" spans="1:9" ht="42" customHeight="1" x14ac:dyDescent="0.35">
      <c r="A592" s="254"/>
      <c r="B592" s="254"/>
      <c r="C592" s="304"/>
      <c r="D592" s="254"/>
      <c r="E592" s="254"/>
      <c r="F592" s="254"/>
      <c r="G592" s="254"/>
      <c r="H592" s="254"/>
      <c r="I592" s="254"/>
    </row>
    <row r="593" spans="1:9" ht="31.2" x14ac:dyDescent="0.35">
      <c r="A593" s="23" t="s">
        <v>1684</v>
      </c>
      <c r="B593" s="308" t="s">
        <v>859</v>
      </c>
      <c r="C593" s="293" t="s">
        <v>1685</v>
      </c>
      <c r="D593" s="355">
        <f>24970.25*1.1</f>
        <v>27467.275000000001</v>
      </c>
      <c r="E593" s="23" t="s">
        <v>14</v>
      </c>
      <c r="F593" s="26" t="s">
        <v>424</v>
      </c>
      <c r="G593" s="26" t="s">
        <v>24</v>
      </c>
      <c r="H593" s="23" t="s">
        <v>103</v>
      </c>
      <c r="I593" s="23" t="s">
        <v>14</v>
      </c>
    </row>
    <row r="594" spans="1:9" ht="31.2" x14ac:dyDescent="0.35">
      <c r="A594" s="23" t="s">
        <v>1684</v>
      </c>
      <c r="B594" s="308" t="s">
        <v>859</v>
      </c>
      <c r="C594" s="293" t="s">
        <v>1686</v>
      </c>
      <c r="D594" s="355">
        <v>7334</v>
      </c>
      <c r="E594" s="23" t="s">
        <v>14</v>
      </c>
      <c r="F594" s="23" t="s">
        <v>424</v>
      </c>
      <c r="G594" s="23" t="s">
        <v>24</v>
      </c>
      <c r="H594" s="23" t="s">
        <v>103</v>
      </c>
      <c r="I594" s="23" t="s">
        <v>14</v>
      </c>
    </row>
    <row r="595" spans="1:9" ht="31.2" x14ac:dyDescent="0.35">
      <c r="A595" s="23" t="s">
        <v>1684</v>
      </c>
      <c r="B595" s="308" t="s">
        <v>859</v>
      </c>
      <c r="C595" s="293" t="s">
        <v>1687</v>
      </c>
      <c r="D595" s="356">
        <f>+(28321+28321*1.06+30019.8*1.06+31820.99*1.06)*1.1</f>
        <v>136281.74714000002</v>
      </c>
      <c r="E595" s="23" t="s">
        <v>14</v>
      </c>
      <c r="F595" s="357" t="s">
        <v>1688</v>
      </c>
      <c r="G595" s="23" t="s">
        <v>18</v>
      </c>
      <c r="H595" s="23" t="s">
        <v>103</v>
      </c>
      <c r="I595" s="23" t="s">
        <v>14</v>
      </c>
    </row>
    <row r="596" spans="1:9" ht="31.2" x14ac:dyDescent="0.35">
      <c r="A596" s="23" t="s">
        <v>1684</v>
      </c>
      <c r="B596" s="308" t="s">
        <v>859</v>
      </c>
      <c r="C596" s="293" t="s">
        <v>1689</v>
      </c>
      <c r="D596" s="355">
        <f>(4135.71*1.078)*1.13*1.1*3</f>
        <v>16624.983472020001</v>
      </c>
      <c r="E596" s="23" t="s">
        <v>14</v>
      </c>
      <c r="F596" s="23" t="s">
        <v>1690</v>
      </c>
      <c r="G596" s="23" t="s">
        <v>187</v>
      </c>
      <c r="H596" s="23" t="s">
        <v>14</v>
      </c>
      <c r="I596" s="23" t="s">
        <v>14</v>
      </c>
    </row>
    <row r="597" spans="1:9" ht="31.2" x14ac:dyDescent="0.35">
      <c r="A597" s="23" t="s">
        <v>1684</v>
      </c>
      <c r="B597" s="308" t="s">
        <v>13</v>
      </c>
      <c r="C597" s="293" t="s">
        <v>1691</v>
      </c>
      <c r="D597" s="355">
        <v>200000</v>
      </c>
      <c r="E597" s="23" t="s">
        <v>14</v>
      </c>
      <c r="F597" s="128" t="s">
        <v>1692</v>
      </c>
      <c r="G597" s="23" t="s">
        <v>24</v>
      </c>
      <c r="H597" s="23" t="s">
        <v>103</v>
      </c>
      <c r="I597" s="23" t="s">
        <v>14</v>
      </c>
    </row>
    <row r="598" spans="1:9" ht="31.2" x14ac:dyDescent="0.35">
      <c r="A598" s="23" t="s">
        <v>1684</v>
      </c>
      <c r="B598" s="308" t="s">
        <v>859</v>
      </c>
      <c r="C598" s="293" t="s">
        <v>1693</v>
      </c>
      <c r="D598" s="355">
        <v>75000</v>
      </c>
      <c r="E598" s="23" t="s">
        <v>14</v>
      </c>
      <c r="F598" s="128" t="s">
        <v>1694</v>
      </c>
      <c r="G598" s="23" t="s">
        <v>24</v>
      </c>
      <c r="H598" s="23" t="s">
        <v>103</v>
      </c>
      <c r="I598" s="23" t="s">
        <v>14</v>
      </c>
    </row>
    <row r="599" spans="1:9" ht="31.2" x14ac:dyDescent="0.35">
      <c r="A599" s="23" t="s">
        <v>1684</v>
      </c>
      <c r="B599" s="308" t="s">
        <v>859</v>
      </c>
      <c r="C599" s="293" t="s">
        <v>1695</v>
      </c>
      <c r="D599" s="355">
        <v>30000</v>
      </c>
      <c r="E599" s="23" t="s">
        <v>14</v>
      </c>
      <c r="F599" s="128" t="s">
        <v>1696</v>
      </c>
      <c r="G599" s="23" t="s">
        <v>24</v>
      </c>
      <c r="H599" s="23" t="s">
        <v>103</v>
      </c>
      <c r="I599" s="23" t="s">
        <v>14</v>
      </c>
    </row>
    <row r="600" spans="1:9" ht="31.2" x14ac:dyDescent="0.35">
      <c r="A600" s="23" t="s">
        <v>1684</v>
      </c>
      <c r="B600" s="308" t="s">
        <v>859</v>
      </c>
      <c r="C600" s="293" t="s">
        <v>1697</v>
      </c>
      <c r="D600" s="355">
        <v>75000</v>
      </c>
      <c r="E600" s="23" t="s">
        <v>14</v>
      </c>
      <c r="F600" s="23">
        <v>50700000</v>
      </c>
      <c r="G600" s="23" t="s">
        <v>24</v>
      </c>
      <c r="H600" s="23" t="s">
        <v>103</v>
      </c>
      <c r="I600" s="23" t="s">
        <v>14</v>
      </c>
    </row>
    <row r="601" spans="1:9" ht="31.2" x14ac:dyDescent="0.35">
      <c r="A601" s="23" t="s">
        <v>1684</v>
      </c>
      <c r="B601" s="308" t="s">
        <v>859</v>
      </c>
      <c r="C601" s="293" t="s">
        <v>1698</v>
      </c>
      <c r="D601" s="355">
        <v>75000</v>
      </c>
      <c r="E601" s="23" t="s">
        <v>14</v>
      </c>
      <c r="F601" s="23">
        <v>92110000</v>
      </c>
      <c r="G601" s="23" t="s">
        <v>24</v>
      </c>
      <c r="H601" s="23" t="s">
        <v>103</v>
      </c>
      <c r="I601" s="23" t="s">
        <v>14</v>
      </c>
    </row>
    <row r="602" spans="1:9" ht="31.2" x14ac:dyDescent="0.35">
      <c r="A602" s="23" t="s">
        <v>1684</v>
      </c>
      <c r="B602" s="308" t="s">
        <v>50</v>
      </c>
      <c r="C602" s="293" t="s">
        <v>1699</v>
      </c>
      <c r="D602" s="355">
        <v>2100000</v>
      </c>
      <c r="E602" s="23" t="s">
        <v>14</v>
      </c>
      <c r="F602" s="23">
        <v>39110000</v>
      </c>
      <c r="G602" s="23" t="s">
        <v>24</v>
      </c>
      <c r="H602" s="23" t="s">
        <v>103</v>
      </c>
      <c r="I602" s="23" t="s">
        <v>14</v>
      </c>
    </row>
    <row r="603" spans="1:9" ht="31.2" x14ac:dyDescent="0.35">
      <c r="A603" s="23" t="s">
        <v>1684</v>
      </c>
      <c r="B603" s="308" t="s">
        <v>50</v>
      </c>
      <c r="C603" s="293" t="s">
        <v>1700</v>
      </c>
      <c r="D603" s="355">
        <v>250000</v>
      </c>
      <c r="E603" s="23" t="s">
        <v>14</v>
      </c>
      <c r="F603" s="23">
        <v>45212200</v>
      </c>
      <c r="G603" s="23" t="s">
        <v>24</v>
      </c>
      <c r="H603" s="23" t="s">
        <v>103</v>
      </c>
      <c r="I603" s="23" t="s">
        <v>14</v>
      </c>
    </row>
    <row r="604" spans="1:9" ht="31.2" x14ac:dyDescent="0.35">
      <c r="A604" s="23" t="s">
        <v>1684</v>
      </c>
      <c r="B604" s="308" t="s">
        <v>50</v>
      </c>
      <c r="C604" s="293" t="s">
        <v>1701</v>
      </c>
      <c r="D604" s="355">
        <v>350000</v>
      </c>
      <c r="E604" s="23" t="s">
        <v>14</v>
      </c>
      <c r="F604" s="23" t="s">
        <v>1702</v>
      </c>
      <c r="G604" s="23" t="s">
        <v>24</v>
      </c>
      <c r="H604" s="23" t="s">
        <v>103</v>
      </c>
      <c r="I604" s="23" t="s">
        <v>14</v>
      </c>
    </row>
    <row r="605" spans="1:9" ht="31.2" x14ac:dyDescent="0.35">
      <c r="A605" s="23" t="s">
        <v>1684</v>
      </c>
      <c r="B605" s="308" t="s">
        <v>160</v>
      </c>
      <c r="C605" s="293" t="s">
        <v>1703</v>
      </c>
      <c r="D605" s="355" t="s">
        <v>1704</v>
      </c>
      <c r="E605" s="23" t="s">
        <v>14</v>
      </c>
      <c r="F605" s="23">
        <v>98000000</v>
      </c>
      <c r="G605" s="23" t="s">
        <v>193</v>
      </c>
      <c r="H605" s="23" t="s">
        <v>103</v>
      </c>
      <c r="I605" s="23" t="s">
        <v>14</v>
      </c>
    </row>
    <row r="606" spans="1:9" ht="31.2" x14ac:dyDescent="0.35">
      <c r="A606" s="23" t="s">
        <v>1684</v>
      </c>
      <c r="B606" s="308" t="s">
        <v>859</v>
      </c>
      <c r="C606" s="293" t="s">
        <v>1705</v>
      </c>
      <c r="D606" s="355" t="s">
        <v>1704</v>
      </c>
      <c r="E606" s="23" t="s">
        <v>14</v>
      </c>
      <c r="F606" s="23" t="s">
        <v>1706</v>
      </c>
      <c r="G606" s="23" t="s">
        <v>24</v>
      </c>
      <c r="H606" s="23" t="s">
        <v>103</v>
      </c>
      <c r="I606" s="23" t="s">
        <v>14</v>
      </c>
    </row>
    <row r="607" spans="1:9" ht="31.2" x14ac:dyDescent="0.35">
      <c r="A607" s="23" t="s">
        <v>1684</v>
      </c>
      <c r="B607" s="308" t="s">
        <v>160</v>
      </c>
      <c r="C607" s="293" t="s">
        <v>1703</v>
      </c>
      <c r="D607" s="355" t="s">
        <v>1704</v>
      </c>
      <c r="E607" s="23" t="s">
        <v>14</v>
      </c>
      <c r="F607" s="23">
        <v>98000000</v>
      </c>
      <c r="G607" s="23" t="s">
        <v>193</v>
      </c>
      <c r="H607" s="23" t="s">
        <v>103</v>
      </c>
      <c r="I607" s="23" t="s">
        <v>14</v>
      </c>
    </row>
    <row r="608" spans="1:9" ht="31.2" x14ac:dyDescent="0.35">
      <c r="A608" s="23" t="s">
        <v>1684</v>
      </c>
      <c r="B608" s="308" t="s">
        <v>859</v>
      </c>
      <c r="C608" s="293" t="s">
        <v>1707</v>
      </c>
      <c r="D608" s="355">
        <v>50000</v>
      </c>
      <c r="E608" s="23" t="s">
        <v>14</v>
      </c>
      <c r="F608" s="23">
        <v>79111000</v>
      </c>
      <c r="G608" s="23" t="s">
        <v>24</v>
      </c>
      <c r="H608" s="23" t="s">
        <v>103</v>
      </c>
      <c r="I608" s="23" t="s">
        <v>14</v>
      </c>
    </row>
    <row r="610" spans="1:9" x14ac:dyDescent="0.35">
      <c r="A610" s="250" t="s">
        <v>1708</v>
      </c>
      <c r="B610" s="250"/>
      <c r="C610" s="250"/>
      <c r="D610" s="250"/>
      <c r="E610" s="250"/>
      <c r="F610" s="250"/>
      <c r="G610" s="250"/>
      <c r="H610" s="250"/>
      <c r="I610" s="250"/>
    </row>
    <row r="611" spans="1:9" x14ac:dyDescent="0.35">
      <c r="E611" s="31"/>
    </row>
    <row r="612" spans="1:9" x14ac:dyDescent="0.35">
      <c r="A612" s="254" t="s">
        <v>857</v>
      </c>
      <c r="B612" s="254" t="s">
        <v>2</v>
      </c>
      <c r="C612" s="254" t="s">
        <v>4</v>
      </c>
      <c r="D612" s="254" t="s">
        <v>5</v>
      </c>
      <c r="E612" s="254" t="s">
        <v>6</v>
      </c>
      <c r="F612" s="254" t="s">
        <v>8</v>
      </c>
      <c r="G612" s="254" t="s">
        <v>9</v>
      </c>
      <c r="H612" s="254" t="s">
        <v>10</v>
      </c>
      <c r="I612" s="254" t="s">
        <v>11</v>
      </c>
    </row>
    <row r="613" spans="1:9" ht="46.95" customHeight="1" x14ac:dyDescent="0.35">
      <c r="A613" s="254"/>
      <c r="B613" s="254"/>
      <c r="C613" s="254"/>
      <c r="D613" s="254"/>
      <c r="E613" s="254"/>
      <c r="F613" s="254"/>
      <c r="G613" s="254"/>
      <c r="H613" s="254"/>
      <c r="I613" s="254"/>
    </row>
    <row r="614" spans="1:9" ht="62.4" x14ac:dyDescent="0.35">
      <c r="A614" s="23" t="s">
        <v>1709</v>
      </c>
      <c r="B614" s="23" t="s">
        <v>1710</v>
      </c>
      <c r="C614" s="275" t="s">
        <v>1711</v>
      </c>
      <c r="D614" s="351">
        <v>11780</v>
      </c>
      <c r="E614" s="23" t="s">
        <v>14</v>
      </c>
      <c r="F614" s="131" t="s">
        <v>1712</v>
      </c>
      <c r="G614" s="102" t="s">
        <v>18</v>
      </c>
      <c r="H614" s="23" t="s">
        <v>14</v>
      </c>
      <c r="I614" s="23" t="s">
        <v>14</v>
      </c>
    </row>
    <row r="615" spans="1:9" ht="46.8" x14ac:dyDescent="0.35">
      <c r="A615" s="23" t="s">
        <v>1709</v>
      </c>
      <c r="B615" s="23" t="s">
        <v>1710</v>
      </c>
      <c r="C615" s="275" t="s">
        <v>1713</v>
      </c>
      <c r="D615" s="351">
        <v>8280</v>
      </c>
      <c r="E615" s="23" t="s">
        <v>14</v>
      </c>
      <c r="F615" s="106" t="s">
        <v>1714</v>
      </c>
      <c r="G615" s="102" t="s">
        <v>187</v>
      </c>
      <c r="H615" s="23" t="s">
        <v>72</v>
      </c>
      <c r="I615" s="23" t="s">
        <v>14</v>
      </c>
    </row>
    <row r="616" spans="1:9" ht="46.8" x14ac:dyDescent="0.35">
      <c r="A616" s="23" t="s">
        <v>1715</v>
      </c>
      <c r="B616" s="23" t="s">
        <v>859</v>
      </c>
      <c r="C616" s="275" t="s">
        <v>1716</v>
      </c>
      <c r="D616" s="351">
        <v>72000</v>
      </c>
      <c r="E616" s="358" t="s">
        <v>14</v>
      </c>
      <c r="F616" s="23">
        <v>50324100</v>
      </c>
      <c r="G616" s="102" t="s">
        <v>187</v>
      </c>
      <c r="H616" s="23" t="s">
        <v>72</v>
      </c>
      <c r="I616" s="23" t="s">
        <v>14</v>
      </c>
    </row>
    <row r="617" spans="1:9" ht="46.8" x14ac:dyDescent="0.35">
      <c r="A617" s="23" t="s">
        <v>1709</v>
      </c>
      <c r="B617" s="30" t="s">
        <v>859</v>
      </c>
      <c r="C617" s="275" t="s">
        <v>1717</v>
      </c>
      <c r="D617" s="351">
        <v>17280</v>
      </c>
      <c r="E617" s="23" t="s">
        <v>14</v>
      </c>
      <c r="F617" s="23">
        <v>50324100</v>
      </c>
      <c r="G617" s="102" t="s">
        <v>187</v>
      </c>
      <c r="H617" s="23" t="s">
        <v>72</v>
      </c>
      <c r="I617" s="23" t="s">
        <v>14</v>
      </c>
    </row>
    <row r="618" spans="1:9" ht="62.4" x14ac:dyDescent="0.35">
      <c r="A618" s="23" t="s">
        <v>1715</v>
      </c>
      <c r="B618" s="30" t="s">
        <v>13</v>
      </c>
      <c r="C618" s="275" t="s">
        <v>1718</v>
      </c>
      <c r="D618" s="351">
        <v>53742</v>
      </c>
      <c r="E618" s="23" t="s">
        <v>14</v>
      </c>
      <c r="F618" s="131" t="s">
        <v>1719</v>
      </c>
      <c r="G618" s="102" t="s">
        <v>187</v>
      </c>
      <c r="H618" s="23" t="s">
        <v>14</v>
      </c>
      <c r="I618" s="23" t="s">
        <v>14</v>
      </c>
    </row>
    <row r="619" spans="1:9" ht="46.8" x14ac:dyDescent="0.35">
      <c r="A619" s="23" t="s">
        <v>1715</v>
      </c>
      <c r="B619" s="23" t="s">
        <v>859</v>
      </c>
      <c r="C619" s="275" t="s">
        <v>1720</v>
      </c>
      <c r="D619" s="351">
        <v>49500</v>
      </c>
      <c r="E619" s="23" t="s">
        <v>14</v>
      </c>
      <c r="F619" s="23" t="s">
        <v>1102</v>
      </c>
      <c r="G619" s="102" t="s">
        <v>138</v>
      </c>
      <c r="H619" s="23" t="s">
        <v>72</v>
      </c>
      <c r="I619" s="23" t="s">
        <v>14</v>
      </c>
    </row>
    <row r="620" spans="1:9" ht="46.8" x14ac:dyDescent="0.35">
      <c r="A620" s="23" t="s">
        <v>1709</v>
      </c>
      <c r="B620" s="23" t="s">
        <v>859</v>
      </c>
      <c r="C620" s="275" t="s">
        <v>1721</v>
      </c>
      <c r="D620" s="351">
        <v>8000</v>
      </c>
      <c r="E620" s="23" t="s">
        <v>14</v>
      </c>
      <c r="F620" s="26" t="s">
        <v>119</v>
      </c>
      <c r="G620" s="102" t="s">
        <v>1722</v>
      </c>
      <c r="H620" s="23" t="s">
        <v>72</v>
      </c>
      <c r="I620" s="23" t="s">
        <v>14</v>
      </c>
    </row>
    <row r="621" spans="1:9" ht="46.8" x14ac:dyDescent="0.35">
      <c r="A621" s="23" t="s">
        <v>1715</v>
      </c>
      <c r="B621" s="23" t="s">
        <v>1723</v>
      </c>
      <c r="C621" s="275" t="s">
        <v>1724</v>
      </c>
      <c r="D621" s="351">
        <v>100000</v>
      </c>
      <c r="E621" s="23" t="s">
        <v>72</v>
      </c>
      <c r="F621" s="23" t="s">
        <v>1725</v>
      </c>
      <c r="G621" s="102" t="s">
        <v>91</v>
      </c>
      <c r="H621" s="23" t="s">
        <v>14</v>
      </c>
      <c r="I621" s="23" t="s">
        <v>14</v>
      </c>
    </row>
    <row r="622" spans="1:9" ht="46.8" x14ac:dyDescent="0.35">
      <c r="A622" s="23" t="s">
        <v>1709</v>
      </c>
      <c r="B622" s="23" t="s">
        <v>859</v>
      </c>
      <c r="C622" s="275" t="s">
        <v>1726</v>
      </c>
      <c r="D622" s="351">
        <v>12000</v>
      </c>
      <c r="E622" s="23" t="s">
        <v>14</v>
      </c>
      <c r="F622" s="23" t="s">
        <v>1727</v>
      </c>
      <c r="G622" s="102" t="s">
        <v>100</v>
      </c>
      <c r="H622" s="23" t="s">
        <v>14</v>
      </c>
      <c r="I622" s="23" t="s">
        <v>14</v>
      </c>
    </row>
    <row r="623" spans="1:9" ht="46.8" x14ac:dyDescent="0.35">
      <c r="A623" s="23" t="s">
        <v>1715</v>
      </c>
      <c r="B623" s="23" t="s">
        <v>50</v>
      </c>
      <c r="C623" s="275" t="s">
        <v>1728</v>
      </c>
      <c r="D623" s="351">
        <v>100000</v>
      </c>
      <c r="E623" s="23" t="s">
        <v>72</v>
      </c>
      <c r="F623" s="23" t="s">
        <v>1729</v>
      </c>
      <c r="G623" s="102" t="s">
        <v>49</v>
      </c>
      <c r="H623" s="23" t="s">
        <v>72</v>
      </c>
      <c r="I623" s="23" t="s">
        <v>14</v>
      </c>
    </row>
    <row r="624" spans="1:9" ht="46.8" x14ac:dyDescent="0.35">
      <c r="A624" s="23" t="s">
        <v>1715</v>
      </c>
      <c r="B624" s="23" t="s">
        <v>859</v>
      </c>
      <c r="C624" s="275" t="s">
        <v>1730</v>
      </c>
      <c r="D624" s="351">
        <v>40000</v>
      </c>
      <c r="E624" s="23" t="s">
        <v>14</v>
      </c>
      <c r="F624" s="23" t="s">
        <v>1727</v>
      </c>
      <c r="G624" s="102" t="s">
        <v>100</v>
      </c>
      <c r="H624" s="23" t="s">
        <v>72</v>
      </c>
      <c r="I624" s="23" t="s">
        <v>14</v>
      </c>
    </row>
    <row r="625" spans="1:9" ht="46.8" x14ac:dyDescent="0.35">
      <c r="A625" s="23" t="s">
        <v>1715</v>
      </c>
      <c r="B625" s="23" t="s">
        <v>50</v>
      </c>
      <c r="C625" s="275" t="s">
        <v>1731</v>
      </c>
      <c r="D625" s="351">
        <v>180000</v>
      </c>
      <c r="E625" s="23" t="s">
        <v>14</v>
      </c>
      <c r="F625" s="23" t="s">
        <v>1732</v>
      </c>
      <c r="G625" s="102" t="s">
        <v>100</v>
      </c>
      <c r="H625" s="23" t="s">
        <v>72</v>
      </c>
      <c r="I625" s="23" t="s">
        <v>14</v>
      </c>
    </row>
    <row r="626" spans="1:9" ht="46.8" x14ac:dyDescent="0.35">
      <c r="A626" s="23" t="s">
        <v>1715</v>
      </c>
      <c r="B626" s="23" t="s">
        <v>859</v>
      </c>
      <c r="C626" s="275" t="s">
        <v>1733</v>
      </c>
      <c r="D626" s="351">
        <v>90000</v>
      </c>
      <c r="E626" s="23" t="s">
        <v>14</v>
      </c>
      <c r="F626" s="23" t="s">
        <v>1734</v>
      </c>
      <c r="G626" s="102" t="s">
        <v>1735</v>
      </c>
      <c r="H626" s="23" t="s">
        <v>14</v>
      </c>
      <c r="I626" s="23" t="s">
        <v>14</v>
      </c>
    </row>
    <row r="627" spans="1:9" ht="46.8" x14ac:dyDescent="0.35">
      <c r="A627" s="23" t="s">
        <v>1715</v>
      </c>
      <c r="B627" s="23" t="s">
        <v>859</v>
      </c>
      <c r="C627" s="275" t="s">
        <v>1736</v>
      </c>
      <c r="D627" s="351">
        <v>110000</v>
      </c>
      <c r="E627" s="23" t="s">
        <v>14</v>
      </c>
      <c r="F627" s="23" t="s">
        <v>1727</v>
      </c>
      <c r="G627" s="102" t="s">
        <v>77</v>
      </c>
      <c r="H627" s="23" t="s">
        <v>72</v>
      </c>
      <c r="I627" s="23" t="s">
        <v>14</v>
      </c>
    </row>
    <row r="628" spans="1:9" ht="46.8" x14ac:dyDescent="0.35">
      <c r="A628" s="23" t="s">
        <v>1715</v>
      </c>
      <c r="B628" s="23" t="s">
        <v>859</v>
      </c>
      <c r="C628" s="275" t="s">
        <v>1737</v>
      </c>
      <c r="D628" s="351">
        <v>30000</v>
      </c>
      <c r="E628" s="23" t="s">
        <v>14</v>
      </c>
      <c r="F628" s="23" t="s">
        <v>1734</v>
      </c>
      <c r="G628" s="102" t="s">
        <v>91</v>
      </c>
      <c r="H628" s="23" t="s">
        <v>14</v>
      </c>
      <c r="I628" s="23" t="s">
        <v>14</v>
      </c>
    </row>
    <row r="629" spans="1:9" ht="46.8" x14ac:dyDescent="0.35">
      <c r="A629" s="23" t="s">
        <v>1715</v>
      </c>
      <c r="B629" s="23" t="s">
        <v>859</v>
      </c>
      <c r="C629" s="275" t="s">
        <v>1738</v>
      </c>
      <c r="D629" s="351">
        <v>70000</v>
      </c>
      <c r="E629" s="23" t="s">
        <v>14</v>
      </c>
      <c r="F629" s="23" t="s">
        <v>1727</v>
      </c>
      <c r="G629" s="102" t="s">
        <v>77</v>
      </c>
      <c r="H629" s="23" t="s">
        <v>72</v>
      </c>
      <c r="I629" s="23" t="s">
        <v>14</v>
      </c>
    </row>
    <row r="630" spans="1:9" ht="46.8" x14ac:dyDescent="0.35">
      <c r="A630" s="23" t="s">
        <v>1739</v>
      </c>
      <c r="B630" s="23" t="s">
        <v>50</v>
      </c>
      <c r="C630" s="275" t="s">
        <v>1740</v>
      </c>
      <c r="D630" s="351">
        <v>907500</v>
      </c>
      <c r="E630" s="23" t="s">
        <v>14</v>
      </c>
      <c r="F630" s="23" t="s">
        <v>1741</v>
      </c>
      <c r="G630" s="102" t="s">
        <v>200</v>
      </c>
      <c r="H630" s="23" t="s">
        <v>14</v>
      </c>
      <c r="I630" s="23" t="s">
        <v>14</v>
      </c>
    </row>
    <row r="631" spans="1:9" ht="62.4" x14ac:dyDescent="0.35">
      <c r="A631" s="23" t="s">
        <v>1739</v>
      </c>
      <c r="B631" s="23" t="s">
        <v>50</v>
      </c>
      <c r="C631" s="275" t="s">
        <v>1742</v>
      </c>
      <c r="D631" s="351">
        <v>546165.88</v>
      </c>
      <c r="E631" s="23" t="s">
        <v>14</v>
      </c>
      <c r="F631" s="23" t="s">
        <v>1743</v>
      </c>
      <c r="G631" s="102" t="s">
        <v>200</v>
      </c>
      <c r="H631" s="23" t="s">
        <v>14</v>
      </c>
      <c r="I631" s="23" t="s">
        <v>14</v>
      </c>
    </row>
    <row r="632" spans="1:9" ht="46.8" x14ac:dyDescent="0.35">
      <c r="A632" s="23" t="s">
        <v>1715</v>
      </c>
      <c r="B632" s="23" t="s">
        <v>859</v>
      </c>
      <c r="C632" s="275" t="s">
        <v>1744</v>
      </c>
      <c r="D632" s="351">
        <v>30000</v>
      </c>
      <c r="E632" s="23" t="s">
        <v>14</v>
      </c>
      <c r="F632" s="23" t="s">
        <v>1745</v>
      </c>
      <c r="G632" s="23" t="s">
        <v>91</v>
      </c>
      <c r="H632" s="23" t="s">
        <v>72</v>
      </c>
      <c r="I632" s="23" t="s">
        <v>14</v>
      </c>
    </row>
    <row r="633" spans="1:9" ht="46.8" x14ac:dyDescent="0.35">
      <c r="A633" s="23" t="s">
        <v>1715</v>
      </c>
      <c r="B633" s="23" t="s">
        <v>50</v>
      </c>
      <c r="C633" s="275" t="s">
        <v>1746</v>
      </c>
      <c r="D633" s="351">
        <v>170000</v>
      </c>
      <c r="E633" s="23" t="s">
        <v>14</v>
      </c>
      <c r="F633" s="106" t="s">
        <v>1747</v>
      </c>
      <c r="G633" s="23" t="s">
        <v>200</v>
      </c>
      <c r="H633" s="23" t="s">
        <v>14</v>
      </c>
      <c r="I633" s="23" t="s">
        <v>14</v>
      </c>
    </row>
    <row r="634" spans="1:9" ht="46.8" x14ac:dyDescent="0.35">
      <c r="A634" s="23" t="s">
        <v>1715</v>
      </c>
      <c r="B634" s="23" t="s">
        <v>1349</v>
      </c>
      <c r="C634" s="275" t="s">
        <v>1748</v>
      </c>
      <c r="D634" s="351">
        <v>80000</v>
      </c>
      <c r="E634" s="23" t="s">
        <v>14</v>
      </c>
      <c r="F634" s="106" t="s">
        <v>1749</v>
      </c>
      <c r="G634" s="23" t="s">
        <v>138</v>
      </c>
      <c r="H634" s="23" t="s">
        <v>72</v>
      </c>
      <c r="I634" s="23" t="s">
        <v>14</v>
      </c>
    </row>
    <row r="635" spans="1:9" ht="62.4" x14ac:dyDescent="0.35">
      <c r="A635" s="23" t="s">
        <v>1715</v>
      </c>
      <c r="B635" s="23" t="s">
        <v>859</v>
      </c>
      <c r="C635" s="275" t="s">
        <v>1750</v>
      </c>
      <c r="D635" s="351">
        <v>250000</v>
      </c>
      <c r="E635" s="23" t="s">
        <v>14</v>
      </c>
      <c r="F635" s="106" t="s">
        <v>1751</v>
      </c>
      <c r="G635" s="23" t="s">
        <v>1722</v>
      </c>
      <c r="H635" s="23" t="s">
        <v>72</v>
      </c>
      <c r="I635" s="23" t="s">
        <v>14</v>
      </c>
    </row>
    <row r="636" spans="1:9" ht="46.8" x14ac:dyDescent="0.35">
      <c r="A636" s="23" t="s">
        <v>1715</v>
      </c>
      <c r="B636" s="23" t="s">
        <v>859</v>
      </c>
      <c r="C636" s="275" t="s">
        <v>1752</v>
      </c>
      <c r="D636" s="351">
        <v>100000</v>
      </c>
      <c r="E636" s="23" t="s">
        <v>14</v>
      </c>
      <c r="F636" s="106" t="s">
        <v>1753</v>
      </c>
      <c r="G636" s="23" t="s">
        <v>1722</v>
      </c>
      <c r="H636" s="23" t="s">
        <v>72</v>
      </c>
      <c r="I636" s="23" t="s">
        <v>14</v>
      </c>
    </row>
    <row r="639" spans="1:9" x14ac:dyDescent="0.35">
      <c r="A639" s="250" t="s">
        <v>1754</v>
      </c>
      <c r="B639" s="250"/>
      <c r="C639" s="250"/>
      <c r="D639" s="250"/>
      <c r="E639" s="250"/>
      <c r="F639" s="250"/>
      <c r="G639" s="250"/>
      <c r="H639" s="250"/>
      <c r="I639" s="250"/>
    </row>
    <row r="640" spans="1:9" x14ac:dyDescent="0.35">
      <c r="C640" s="359"/>
      <c r="D640" s="359"/>
      <c r="E640" s="359"/>
      <c r="F640" s="359"/>
      <c r="G640" s="359"/>
      <c r="H640" s="359"/>
      <c r="I640" s="359"/>
    </row>
    <row r="641" spans="1:9" x14ac:dyDescent="0.35">
      <c r="C641" s="359"/>
      <c r="D641" s="359"/>
      <c r="E641" s="359"/>
      <c r="F641" s="359"/>
      <c r="G641" s="359"/>
      <c r="H641" s="359"/>
      <c r="I641" s="359"/>
    </row>
    <row r="642" spans="1:9" x14ac:dyDescent="0.35">
      <c r="A642" s="254" t="s">
        <v>857</v>
      </c>
      <c r="B642" s="254" t="s">
        <v>2</v>
      </c>
      <c r="C642" s="254" t="s">
        <v>4</v>
      </c>
      <c r="D642" s="254" t="s">
        <v>5</v>
      </c>
      <c r="E642" s="254" t="s">
        <v>6</v>
      </c>
      <c r="F642" s="254" t="s">
        <v>8</v>
      </c>
      <c r="G642" s="254" t="s">
        <v>9</v>
      </c>
      <c r="H642" s="254" t="s">
        <v>10</v>
      </c>
      <c r="I642" s="254" t="s">
        <v>11</v>
      </c>
    </row>
    <row r="643" spans="1:9" x14ac:dyDescent="0.35">
      <c r="A643" s="254"/>
      <c r="B643" s="254"/>
      <c r="C643" s="271"/>
      <c r="D643" s="254"/>
      <c r="E643" s="254"/>
      <c r="F643" s="254"/>
      <c r="G643" s="254"/>
      <c r="H643" s="254"/>
      <c r="I643" s="254"/>
    </row>
    <row r="644" spans="1:9" ht="31.2" x14ac:dyDescent="0.35">
      <c r="A644" s="57" t="s">
        <v>1755</v>
      </c>
      <c r="B644" s="360" t="s">
        <v>859</v>
      </c>
      <c r="C644" s="275" t="s">
        <v>1756</v>
      </c>
      <c r="D644" s="361">
        <v>78280</v>
      </c>
      <c r="E644" s="23" t="s">
        <v>14</v>
      </c>
      <c r="F644" s="362" t="s">
        <v>1757</v>
      </c>
      <c r="G644" s="57" t="s">
        <v>18</v>
      </c>
      <c r="H644" s="57" t="s">
        <v>14</v>
      </c>
      <c r="I644" s="23" t="s">
        <v>14</v>
      </c>
    </row>
    <row r="645" spans="1:9" ht="31.2" x14ac:dyDescent="0.35">
      <c r="A645" s="57" t="s">
        <v>1755</v>
      </c>
      <c r="B645" s="360" t="s">
        <v>859</v>
      </c>
      <c r="C645" s="275" t="s">
        <v>1758</v>
      </c>
      <c r="D645" s="361">
        <v>20291</v>
      </c>
      <c r="E645" s="23" t="s">
        <v>14</v>
      </c>
      <c r="F645" s="362" t="s">
        <v>1759</v>
      </c>
      <c r="G645" s="57" t="s">
        <v>18</v>
      </c>
      <c r="H645" s="57" t="s">
        <v>14</v>
      </c>
      <c r="I645" s="23" t="s">
        <v>14</v>
      </c>
    </row>
    <row r="646" spans="1:9" ht="31.2" x14ac:dyDescent="0.35">
      <c r="A646" s="57" t="s">
        <v>1755</v>
      </c>
      <c r="B646" s="360" t="s">
        <v>859</v>
      </c>
      <c r="C646" s="275" t="s">
        <v>1760</v>
      </c>
      <c r="D646" s="361">
        <v>184725.34</v>
      </c>
      <c r="E646" s="57" t="s">
        <v>14</v>
      </c>
      <c r="F646" s="362" t="s">
        <v>1761</v>
      </c>
      <c r="G646" s="57" t="s">
        <v>24</v>
      </c>
      <c r="H646" s="23" t="s">
        <v>72</v>
      </c>
      <c r="I646" s="57" t="s">
        <v>14</v>
      </c>
    </row>
    <row r="648" spans="1:9" x14ac:dyDescent="0.35">
      <c r="A648" s="250" t="s">
        <v>1762</v>
      </c>
      <c r="B648" s="250"/>
      <c r="C648" s="250"/>
      <c r="D648" s="250"/>
      <c r="E648" s="250"/>
      <c r="F648" s="250"/>
      <c r="G648" s="250"/>
      <c r="H648" s="250"/>
      <c r="I648" s="250"/>
    </row>
    <row r="649" spans="1:9" x14ac:dyDescent="0.35">
      <c r="E649" s="31"/>
    </row>
    <row r="650" spans="1:9" x14ac:dyDescent="0.35">
      <c r="A650" s="254" t="s">
        <v>857</v>
      </c>
      <c r="B650" s="271" t="s">
        <v>2</v>
      </c>
      <c r="C650" s="271" t="s">
        <v>4</v>
      </c>
      <c r="D650" s="271" t="s">
        <v>5</v>
      </c>
      <c r="E650" s="271" t="s">
        <v>6</v>
      </c>
      <c r="F650" s="271" t="s">
        <v>8</v>
      </c>
      <c r="G650" s="271" t="s">
        <v>9</v>
      </c>
      <c r="H650" s="271" t="s">
        <v>10</v>
      </c>
      <c r="I650" s="271" t="s">
        <v>11</v>
      </c>
    </row>
    <row r="651" spans="1:9" x14ac:dyDescent="0.35">
      <c r="A651" s="254"/>
      <c r="B651" s="272"/>
      <c r="C651" s="272"/>
      <c r="D651" s="272"/>
      <c r="E651" s="272"/>
      <c r="F651" s="272"/>
      <c r="G651" s="272"/>
      <c r="H651" s="272"/>
      <c r="I651" s="272"/>
    </row>
    <row r="652" spans="1:9" ht="31.2" x14ac:dyDescent="0.35">
      <c r="A652" s="23" t="s">
        <v>1763</v>
      </c>
      <c r="B652" s="23" t="s">
        <v>859</v>
      </c>
      <c r="C652" s="275" t="s">
        <v>1764</v>
      </c>
      <c r="D652" s="351">
        <v>80000</v>
      </c>
      <c r="E652" s="23" t="s">
        <v>14</v>
      </c>
      <c r="F652" s="26" t="s">
        <v>1765</v>
      </c>
      <c r="G652" s="26" t="s">
        <v>18</v>
      </c>
      <c r="H652" s="23" t="s">
        <v>14</v>
      </c>
      <c r="I652" s="23" t="s">
        <v>14</v>
      </c>
    </row>
    <row r="653" spans="1:9" ht="31.2" x14ac:dyDescent="0.35">
      <c r="A653" s="23" t="s">
        <v>1763</v>
      </c>
      <c r="B653" s="23" t="s">
        <v>859</v>
      </c>
      <c r="C653" s="275" t="s">
        <v>1766</v>
      </c>
      <c r="D653" s="351">
        <v>800000</v>
      </c>
      <c r="E653" s="23" t="s">
        <v>14</v>
      </c>
      <c r="F653" s="26" t="s">
        <v>1767</v>
      </c>
      <c r="G653" s="26" t="s">
        <v>18</v>
      </c>
      <c r="H653" s="23" t="s">
        <v>72</v>
      </c>
      <c r="I653" s="23" t="s">
        <v>14</v>
      </c>
    </row>
    <row r="654" spans="1:9" ht="31.2" x14ac:dyDescent="0.35">
      <c r="A654" s="23" t="s">
        <v>1763</v>
      </c>
      <c r="B654" s="23" t="s">
        <v>859</v>
      </c>
      <c r="C654" s="275" t="s">
        <v>1768</v>
      </c>
      <c r="D654" s="351">
        <v>600000</v>
      </c>
      <c r="E654" s="23" t="s">
        <v>14</v>
      </c>
      <c r="F654" s="26" t="s">
        <v>137</v>
      </c>
      <c r="G654" s="26" t="s">
        <v>18</v>
      </c>
      <c r="H654" s="23" t="s">
        <v>72</v>
      </c>
      <c r="I654" s="23" t="s">
        <v>14</v>
      </c>
    </row>
    <row r="655" spans="1:9" ht="31.2" x14ac:dyDescent="0.35">
      <c r="A655" s="23" t="s">
        <v>1763</v>
      </c>
      <c r="B655" s="23" t="s">
        <v>859</v>
      </c>
      <c r="C655" s="275" t="s">
        <v>811</v>
      </c>
      <c r="D655" s="351">
        <v>25000</v>
      </c>
      <c r="E655" s="23" t="s">
        <v>14</v>
      </c>
      <c r="F655" s="26" t="s">
        <v>1438</v>
      </c>
      <c r="G655" s="26" t="s">
        <v>18</v>
      </c>
      <c r="H655" s="23" t="s">
        <v>72</v>
      </c>
      <c r="I655" s="23" t="s">
        <v>14</v>
      </c>
    </row>
    <row r="656" spans="1:9" ht="31.2" x14ac:dyDescent="0.35">
      <c r="A656" s="23" t="s">
        <v>1763</v>
      </c>
      <c r="B656" s="23" t="s">
        <v>859</v>
      </c>
      <c r="C656" s="275" t="s">
        <v>1769</v>
      </c>
      <c r="D656" s="351">
        <v>110000</v>
      </c>
      <c r="E656" s="23" t="s">
        <v>14</v>
      </c>
      <c r="F656" s="26" t="s">
        <v>606</v>
      </c>
      <c r="G656" s="26" t="s">
        <v>18</v>
      </c>
      <c r="H656" s="23" t="s">
        <v>72</v>
      </c>
      <c r="I656" s="23" t="s">
        <v>14</v>
      </c>
    </row>
    <row r="658" spans="1:9" x14ac:dyDescent="0.35">
      <c r="A658" s="250" t="s">
        <v>1770</v>
      </c>
      <c r="B658" s="250"/>
      <c r="C658" s="250"/>
      <c r="D658" s="250"/>
      <c r="E658" s="250"/>
      <c r="F658" s="250"/>
      <c r="G658" s="250"/>
      <c r="H658" s="250"/>
      <c r="I658" s="250"/>
    </row>
    <row r="659" spans="1:9" x14ac:dyDescent="0.35">
      <c r="B659" s="61"/>
      <c r="C659" s="269"/>
      <c r="D659" s="363"/>
      <c r="E659" s="61"/>
      <c r="F659" s="364"/>
      <c r="G659" s="285"/>
      <c r="H659" s="61"/>
      <c r="I659" s="61"/>
    </row>
    <row r="660" spans="1:9" x14ac:dyDescent="0.35">
      <c r="A660" s="254" t="s">
        <v>857</v>
      </c>
      <c r="B660" s="271" t="s">
        <v>2</v>
      </c>
      <c r="C660" s="271" t="s">
        <v>4</v>
      </c>
      <c r="D660" s="271" t="s">
        <v>5</v>
      </c>
      <c r="E660" s="271" t="s">
        <v>6</v>
      </c>
      <c r="F660" s="271" t="s">
        <v>8</v>
      </c>
      <c r="G660" s="271" t="s">
        <v>9</v>
      </c>
      <c r="H660" s="271" t="s">
        <v>10</v>
      </c>
      <c r="I660" s="271" t="s">
        <v>11</v>
      </c>
    </row>
    <row r="661" spans="1:9" x14ac:dyDescent="0.35">
      <c r="A661" s="254"/>
      <c r="B661" s="272"/>
      <c r="C661" s="272"/>
      <c r="D661" s="272"/>
      <c r="E661" s="272"/>
      <c r="F661" s="272"/>
      <c r="G661" s="272"/>
      <c r="H661" s="272"/>
      <c r="I661" s="272"/>
    </row>
    <row r="662" spans="1:9" ht="62.4" x14ac:dyDescent="0.35">
      <c r="A662" s="23" t="s">
        <v>1771</v>
      </c>
      <c r="B662" s="23" t="s">
        <v>859</v>
      </c>
      <c r="C662" s="275" t="s">
        <v>1772</v>
      </c>
      <c r="D662" s="351" t="s">
        <v>1773</v>
      </c>
      <c r="E662" s="23" t="s">
        <v>14</v>
      </c>
      <c r="F662" s="23" t="s">
        <v>1774</v>
      </c>
      <c r="G662" s="23" t="s">
        <v>270</v>
      </c>
      <c r="H662" s="23" t="s">
        <v>72</v>
      </c>
      <c r="I662" s="50" t="s">
        <v>14</v>
      </c>
    </row>
    <row r="663" spans="1:9" ht="31.2" x14ac:dyDescent="0.35">
      <c r="A663" s="23" t="s">
        <v>1771</v>
      </c>
      <c r="B663" s="23" t="s">
        <v>859</v>
      </c>
      <c r="C663" s="275" t="s">
        <v>1775</v>
      </c>
      <c r="D663" s="351">
        <v>7200</v>
      </c>
      <c r="E663" s="23" t="s">
        <v>14</v>
      </c>
      <c r="F663" s="23" t="s">
        <v>1776</v>
      </c>
      <c r="G663" s="23" t="s">
        <v>1004</v>
      </c>
      <c r="H663" s="23" t="s">
        <v>72</v>
      </c>
      <c r="I663" s="50" t="s">
        <v>14</v>
      </c>
    </row>
    <row r="665" spans="1:9" x14ac:dyDescent="0.35">
      <c r="A665" s="250" t="s">
        <v>1777</v>
      </c>
      <c r="B665" s="250"/>
      <c r="C665" s="250"/>
      <c r="D665" s="250"/>
      <c r="E665" s="250"/>
      <c r="F665" s="250"/>
      <c r="G665" s="250"/>
      <c r="H665" s="250"/>
      <c r="I665" s="250"/>
    </row>
    <row r="666" spans="1:9" x14ac:dyDescent="0.35">
      <c r="E666" s="31"/>
    </row>
    <row r="667" spans="1:9" x14ac:dyDescent="0.35">
      <c r="A667" s="254" t="s">
        <v>857</v>
      </c>
      <c r="B667" s="254" t="s">
        <v>2</v>
      </c>
      <c r="C667" s="254" t="s">
        <v>4</v>
      </c>
      <c r="D667" s="254" t="s">
        <v>5</v>
      </c>
      <c r="E667" s="254" t="s">
        <v>6</v>
      </c>
      <c r="F667" s="254" t="s">
        <v>8</v>
      </c>
      <c r="G667" s="254" t="s">
        <v>9</v>
      </c>
      <c r="H667" s="254" t="s">
        <v>10</v>
      </c>
      <c r="I667" s="271" t="s">
        <v>11</v>
      </c>
    </row>
    <row r="668" spans="1:9" x14ac:dyDescent="0.35">
      <c r="A668" s="254"/>
      <c r="B668" s="254"/>
      <c r="C668" s="254"/>
      <c r="D668" s="254"/>
      <c r="E668" s="254"/>
      <c r="F668" s="254"/>
      <c r="G668" s="254"/>
      <c r="H668" s="254"/>
      <c r="I668" s="304"/>
    </row>
    <row r="669" spans="1:9" ht="31.2" x14ac:dyDescent="0.35">
      <c r="A669" s="23" t="s">
        <v>1778</v>
      </c>
      <c r="B669" s="23" t="s">
        <v>859</v>
      </c>
      <c r="C669" s="275" t="s">
        <v>1779</v>
      </c>
      <c r="D669" s="351">
        <v>58500</v>
      </c>
      <c r="E669" s="23" t="s">
        <v>14</v>
      </c>
      <c r="F669" s="26" t="s">
        <v>660</v>
      </c>
      <c r="G669" s="26" t="s">
        <v>187</v>
      </c>
      <c r="H669" s="23" t="s">
        <v>14</v>
      </c>
      <c r="I669" s="23" t="s">
        <v>72</v>
      </c>
    </row>
    <row r="670" spans="1:9" ht="31.2" x14ac:dyDescent="0.35">
      <c r="A670" s="23" t="s">
        <v>1778</v>
      </c>
      <c r="B670" s="23" t="s">
        <v>859</v>
      </c>
      <c r="C670" s="275" t="s">
        <v>1780</v>
      </c>
      <c r="D670" s="351">
        <v>44123</v>
      </c>
      <c r="E670" s="23" t="s">
        <v>14</v>
      </c>
      <c r="F670" s="26" t="s">
        <v>1781</v>
      </c>
      <c r="G670" s="26" t="s">
        <v>187</v>
      </c>
      <c r="H670" s="23" t="s">
        <v>14</v>
      </c>
      <c r="I670" s="23" t="s">
        <v>14</v>
      </c>
    </row>
    <row r="671" spans="1:9" ht="31.2" x14ac:dyDescent="0.35">
      <c r="A671" s="23" t="s">
        <v>1778</v>
      </c>
      <c r="B671" s="23" t="s">
        <v>859</v>
      </c>
      <c r="C671" s="275" t="s">
        <v>1782</v>
      </c>
      <c r="D671" s="351">
        <v>21000</v>
      </c>
      <c r="E671" s="23" t="s">
        <v>14</v>
      </c>
      <c r="F671" s="23" t="s">
        <v>1706</v>
      </c>
      <c r="G671" s="23" t="s">
        <v>187</v>
      </c>
      <c r="H671" s="23" t="s">
        <v>14</v>
      </c>
      <c r="I671" s="23" t="s">
        <v>14</v>
      </c>
    </row>
    <row r="672" spans="1:9" ht="31.2" x14ac:dyDescent="0.35">
      <c r="A672" s="23" t="s">
        <v>1778</v>
      </c>
      <c r="B672" s="23" t="s">
        <v>859</v>
      </c>
      <c r="C672" s="275" t="s">
        <v>1783</v>
      </c>
      <c r="D672" s="351">
        <v>60000</v>
      </c>
      <c r="E672" s="23" t="s">
        <v>14</v>
      </c>
      <c r="F672" s="23" t="s">
        <v>1784</v>
      </c>
      <c r="G672" s="23" t="s">
        <v>187</v>
      </c>
      <c r="H672" s="23" t="s">
        <v>14</v>
      </c>
      <c r="I672" s="23" t="s">
        <v>14</v>
      </c>
    </row>
    <row r="673" spans="1:9" ht="31.2" x14ac:dyDescent="0.35">
      <c r="A673" s="23" t="s">
        <v>1778</v>
      </c>
      <c r="B673" s="23" t="s">
        <v>859</v>
      </c>
      <c r="C673" s="275" t="s">
        <v>1785</v>
      </c>
      <c r="D673" s="351">
        <v>56000</v>
      </c>
      <c r="E673" s="23" t="s">
        <v>14</v>
      </c>
      <c r="F673" s="23" t="s">
        <v>1765</v>
      </c>
      <c r="G673" s="23" t="s">
        <v>77</v>
      </c>
      <c r="H673" s="23" t="s">
        <v>14</v>
      </c>
      <c r="I673" s="23" t="s">
        <v>14</v>
      </c>
    </row>
    <row r="674" spans="1:9" ht="31.2" x14ac:dyDescent="0.35">
      <c r="A674" s="23" t="s">
        <v>1778</v>
      </c>
      <c r="B674" s="23" t="s">
        <v>13</v>
      </c>
      <c r="C674" s="275" t="s">
        <v>1786</v>
      </c>
      <c r="D674" s="351">
        <v>40000</v>
      </c>
      <c r="E674" s="23" t="s">
        <v>14</v>
      </c>
      <c r="F674" s="23" t="s">
        <v>1787</v>
      </c>
      <c r="G674" s="23" t="s">
        <v>187</v>
      </c>
      <c r="H674" s="23" t="s">
        <v>14</v>
      </c>
      <c r="I674" s="23" t="s">
        <v>14</v>
      </c>
    </row>
    <row r="676" spans="1:9" x14ac:dyDescent="0.35">
      <c r="A676" s="250" t="s">
        <v>1788</v>
      </c>
      <c r="B676" s="250"/>
      <c r="C676" s="250"/>
      <c r="D676" s="250"/>
      <c r="E676" s="250"/>
      <c r="F676" s="250"/>
      <c r="G676" s="250"/>
      <c r="H676" s="250"/>
      <c r="I676" s="250"/>
    </row>
    <row r="677" spans="1:9" x14ac:dyDescent="0.35">
      <c r="E677" s="31"/>
    </row>
    <row r="678" spans="1:9" x14ac:dyDescent="0.35">
      <c r="A678" s="254" t="s">
        <v>857</v>
      </c>
      <c r="B678" s="254" t="s">
        <v>2</v>
      </c>
      <c r="C678" s="254" t="s">
        <v>4</v>
      </c>
      <c r="D678" s="254" t="s">
        <v>5</v>
      </c>
      <c r="E678" s="254" t="s">
        <v>6</v>
      </c>
      <c r="F678" s="254" t="s">
        <v>8</v>
      </c>
      <c r="G678" s="254" t="s">
        <v>9</v>
      </c>
      <c r="H678" s="254" t="s">
        <v>10</v>
      </c>
      <c r="I678" s="254" t="s">
        <v>11</v>
      </c>
    </row>
    <row r="679" spans="1:9" x14ac:dyDescent="0.35">
      <c r="A679" s="254"/>
      <c r="B679" s="254"/>
      <c r="C679" s="254"/>
      <c r="D679" s="254"/>
      <c r="E679" s="254"/>
      <c r="F679" s="254"/>
      <c r="G679" s="254"/>
      <c r="H679" s="254"/>
      <c r="I679" s="254"/>
    </row>
    <row r="680" spans="1:9" ht="46.8" x14ac:dyDescent="0.35">
      <c r="A680" s="187" t="s">
        <v>1789</v>
      </c>
      <c r="B680" s="187" t="s">
        <v>13</v>
      </c>
      <c r="C680" s="255" t="s">
        <v>1790</v>
      </c>
      <c r="D680" s="337">
        <v>60000</v>
      </c>
      <c r="E680" s="187" t="s">
        <v>14</v>
      </c>
      <c r="F680" s="187">
        <v>42124100</v>
      </c>
      <c r="G680" s="187" t="s">
        <v>91</v>
      </c>
      <c r="H680" s="187" t="s">
        <v>14</v>
      </c>
      <c r="I680" s="23" t="s">
        <v>14</v>
      </c>
    </row>
    <row r="681" spans="1:9" ht="62.4" x14ac:dyDescent="0.35">
      <c r="A681" s="187" t="s">
        <v>1791</v>
      </c>
      <c r="B681" s="187" t="s">
        <v>1792</v>
      </c>
      <c r="C681" s="255" t="s">
        <v>1793</v>
      </c>
      <c r="D681" s="337">
        <v>450000</v>
      </c>
      <c r="E681" s="187" t="s">
        <v>14</v>
      </c>
      <c r="F681" s="187" t="s">
        <v>1794</v>
      </c>
      <c r="G681" s="187" t="s">
        <v>91</v>
      </c>
      <c r="H681" s="187" t="s">
        <v>14</v>
      </c>
      <c r="I681" s="23" t="s">
        <v>14</v>
      </c>
    </row>
    <row r="682" spans="1:9" ht="46.8" x14ac:dyDescent="0.35">
      <c r="A682" s="187" t="s">
        <v>1789</v>
      </c>
      <c r="B682" s="187" t="s">
        <v>1792</v>
      </c>
      <c r="C682" s="255" t="s">
        <v>1795</v>
      </c>
      <c r="D682" s="337">
        <v>55000</v>
      </c>
      <c r="E682" s="187" t="s">
        <v>14</v>
      </c>
      <c r="F682" s="187" t="s">
        <v>1796</v>
      </c>
      <c r="G682" s="187" t="s">
        <v>46</v>
      </c>
      <c r="H682" s="187" t="s">
        <v>14</v>
      </c>
      <c r="I682" s="23" t="s">
        <v>14</v>
      </c>
    </row>
    <row r="683" spans="1:9" ht="62.4" x14ac:dyDescent="0.35">
      <c r="A683" s="187" t="s">
        <v>1791</v>
      </c>
      <c r="B683" s="187" t="s">
        <v>50</v>
      </c>
      <c r="C683" s="255" t="s">
        <v>1797</v>
      </c>
      <c r="D683" s="337">
        <v>1500000</v>
      </c>
      <c r="E683" s="187" t="s">
        <v>14</v>
      </c>
      <c r="F683" s="187">
        <v>45222110</v>
      </c>
      <c r="G683" s="187" t="s">
        <v>77</v>
      </c>
      <c r="H683" s="187" t="s">
        <v>14</v>
      </c>
      <c r="I683" s="23" t="s">
        <v>14</v>
      </c>
    </row>
    <row r="684" spans="1:9" ht="62.4" x14ac:dyDescent="0.35">
      <c r="A684" s="187" t="s">
        <v>1791</v>
      </c>
      <c r="B684" s="187" t="s">
        <v>1792</v>
      </c>
      <c r="C684" s="255" t="s">
        <v>1798</v>
      </c>
      <c r="D684" s="337">
        <v>500000</v>
      </c>
      <c r="E684" s="187" t="s">
        <v>14</v>
      </c>
      <c r="F684" s="187" t="s">
        <v>1799</v>
      </c>
      <c r="G684" s="187" t="s">
        <v>202</v>
      </c>
      <c r="H684" s="187" t="s">
        <v>14</v>
      </c>
      <c r="I684" s="23" t="s">
        <v>14</v>
      </c>
    </row>
    <row r="685" spans="1:9" ht="46.8" x14ac:dyDescent="0.35">
      <c r="A685" s="187" t="s">
        <v>1800</v>
      </c>
      <c r="B685" s="187" t="s">
        <v>13</v>
      </c>
      <c r="C685" s="255" t="s">
        <v>1801</v>
      </c>
      <c r="D685" s="337">
        <v>225000</v>
      </c>
      <c r="E685" s="187" t="s">
        <v>14</v>
      </c>
      <c r="F685" s="187" t="s">
        <v>1802</v>
      </c>
      <c r="G685" s="187" t="s">
        <v>202</v>
      </c>
      <c r="H685" s="187" t="s">
        <v>14</v>
      </c>
      <c r="I685" s="23" t="s">
        <v>14</v>
      </c>
    </row>
    <row r="686" spans="1:9" ht="46.8" x14ac:dyDescent="0.35">
      <c r="A686" s="187" t="s">
        <v>1789</v>
      </c>
      <c r="B686" s="187" t="s">
        <v>859</v>
      </c>
      <c r="C686" s="255" t="s">
        <v>1803</v>
      </c>
      <c r="D686" s="337">
        <v>90000</v>
      </c>
      <c r="E686" s="187" t="s">
        <v>14</v>
      </c>
      <c r="F686" s="187" t="s">
        <v>1452</v>
      </c>
      <c r="G686" s="187" t="s">
        <v>200</v>
      </c>
      <c r="H686" s="187" t="s">
        <v>14</v>
      </c>
      <c r="I686" s="23" t="s">
        <v>14</v>
      </c>
    </row>
    <row r="687" spans="1:9" ht="46.8" x14ac:dyDescent="0.35">
      <c r="A687" s="187" t="s">
        <v>1789</v>
      </c>
      <c r="B687" s="187" t="s">
        <v>50</v>
      </c>
      <c r="C687" s="255" t="s">
        <v>1804</v>
      </c>
      <c r="D687" s="337">
        <v>90000</v>
      </c>
      <c r="E687" s="187" t="s">
        <v>14</v>
      </c>
      <c r="F687" s="187" t="s">
        <v>1805</v>
      </c>
      <c r="G687" s="187" t="s">
        <v>202</v>
      </c>
      <c r="H687" s="187" t="s">
        <v>14</v>
      </c>
      <c r="I687" s="23" t="s">
        <v>14</v>
      </c>
    </row>
    <row r="688" spans="1:9" ht="46.8" x14ac:dyDescent="0.35">
      <c r="A688" s="187" t="s">
        <v>1789</v>
      </c>
      <c r="B688" s="187" t="s">
        <v>13</v>
      </c>
      <c r="C688" s="255" t="s">
        <v>1806</v>
      </c>
      <c r="D688" s="337">
        <v>70000</v>
      </c>
      <c r="E688" s="187" t="s">
        <v>14</v>
      </c>
      <c r="F688" s="187">
        <v>42124100</v>
      </c>
      <c r="G688" s="187" t="s">
        <v>91</v>
      </c>
      <c r="H688" s="187" t="s">
        <v>14</v>
      </c>
      <c r="I688" s="23" t="s">
        <v>14</v>
      </c>
    </row>
    <row r="689" spans="1:9" ht="46.8" x14ac:dyDescent="0.35">
      <c r="A689" s="187" t="s">
        <v>1800</v>
      </c>
      <c r="B689" s="187" t="s">
        <v>859</v>
      </c>
      <c r="C689" s="255" t="s">
        <v>1807</v>
      </c>
      <c r="D689" s="337">
        <v>220000</v>
      </c>
      <c r="E689" s="187" t="s">
        <v>14</v>
      </c>
      <c r="F689" s="187" t="s">
        <v>1808</v>
      </c>
      <c r="G689" s="187" t="s">
        <v>77</v>
      </c>
      <c r="H689" s="187" t="s">
        <v>14</v>
      </c>
      <c r="I689" s="23" t="s">
        <v>14</v>
      </c>
    </row>
    <row r="690" spans="1:9" ht="93.6" x14ac:dyDescent="0.35">
      <c r="A690" s="187" t="s">
        <v>1800</v>
      </c>
      <c r="B690" s="187" t="s">
        <v>859</v>
      </c>
      <c r="C690" s="255" t="s">
        <v>1809</v>
      </c>
      <c r="D690" s="337">
        <v>220000</v>
      </c>
      <c r="E690" s="187" t="s">
        <v>14</v>
      </c>
      <c r="F690" s="187">
        <v>60182000</v>
      </c>
      <c r="G690" s="187" t="s">
        <v>613</v>
      </c>
      <c r="H690" s="187" t="s">
        <v>14</v>
      </c>
      <c r="I690" s="23" t="s">
        <v>14</v>
      </c>
    </row>
    <row r="691" spans="1:9" ht="46.8" x14ac:dyDescent="0.35">
      <c r="A691" s="187" t="s">
        <v>1789</v>
      </c>
      <c r="B691" s="187" t="s">
        <v>859</v>
      </c>
      <c r="C691" s="255" t="s">
        <v>1810</v>
      </c>
      <c r="D691" s="337">
        <v>60000</v>
      </c>
      <c r="E691" s="187" t="s">
        <v>14</v>
      </c>
      <c r="F691" s="187" t="s">
        <v>1811</v>
      </c>
      <c r="G691" s="187" t="s">
        <v>270</v>
      </c>
      <c r="H691" s="187" t="s">
        <v>14</v>
      </c>
      <c r="I691" s="23" t="s">
        <v>14</v>
      </c>
    </row>
    <row r="692" spans="1:9" ht="46.8" x14ac:dyDescent="0.35">
      <c r="A692" s="187" t="s">
        <v>1789</v>
      </c>
      <c r="B692" s="187" t="s">
        <v>859</v>
      </c>
      <c r="C692" s="255" t="s">
        <v>1812</v>
      </c>
      <c r="D692" s="337">
        <v>20000</v>
      </c>
      <c r="E692" s="187" t="s">
        <v>14</v>
      </c>
      <c r="F692" s="187" t="s">
        <v>1813</v>
      </c>
      <c r="G692" s="187" t="s">
        <v>270</v>
      </c>
      <c r="H692" s="187" t="s">
        <v>14</v>
      </c>
      <c r="I692" s="23" t="s">
        <v>14</v>
      </c>
    </row>
    <row r="693" spans="1:9" ht="46.8" x14ac:dyDescent="0.35">
      <c r="A693" s="187" t="s">
        <v>1800</v>
      </c>
      <c r="B693" s="187" t="s">
        <v>859</v>
      </c>
      <c r="C693" s="255" t="s">
        <v>1814</v>
      </c>
      <c r="D693" s="337">
        <v>225000</v>
      </c>
      <c r="E693" s="187" t="s">
        <v>14</v>
      </c>
      <c r="F693" s="187" t="s">
        <v>1815</v>
      </c>
      <c r="G693" s="187" t="s">
        <v>613</v>
      </c>
      <c r="H693" s="187" t="s">
        <v>14</v>
      </c>
      <c r="I693" s="23" t="s">
        <v>14</v>
      </c>
    </row>
    <row r="694" spans="1:9" ht="46.8" x14ac:dyDescent="0.35">
      <c r="A694" s="187" t="s">
        <v>1789</v>
      </c>
      <c r="B694" s="187" t="s">
        <v>859</v>
      </c>
      <c r="C694" s="255" t="s">
        <v>1816</v>
      </c>
      <c r="D694" s="337">
        <v>50000</v>
      </c>
      <c r="E694" s="187" t="s">
        <v>14</v>
      </c>
      <c r="F694" s="187" t="s">
        <v>1817</v>
      </c>
      <c r="G694" s="187" t="s">
        <v>270</v>
      </c>
      <c r="H694" s="187" t="s">
        <v>14</v>
      </c>
      <c r="I694" s="23" t="s">
        <v>14</v>
      </c>
    </row>
    <row r="695" spans="1:9" ht="46.8" x14ac:dyDescent="0.35">
      <c r="A695" s="187" t="s">
        <v>1789</v>
      </c>
      <c r="B695" s="187" t="s">
        <v>13</v>
      </c>
      <c r="C695" s="255" t="s">
        <v>1818</v>
      </c>
      <c r="D695" s="337">
        <v>60000</v>
      </c>
      <c r="E695" s="187" t="s">
        <v>14</v>
      </c>
      <c r="F695" s="187">
        <v>42122220</v>
      </c>
      <c r="G695" s="187" t="s">
        <v>91</v>
      </c>
      <c r="H695" s="187" t="s">
        <v>14</v>
      </c>
      <c r="I695" s="23" t="s">
        <v>14</v>
      </c>
    </row>
    <row r="696" spans="1:9" ht="46.8" x14ac:dyDescent="0.35">
      <c r="A696" s="187" t="s">
        <v>1789</v>
      </c>
      <c r="B696" s="187" t="s">
        <v>859</v>
      </c>
      <c r="C696" s="255" t="s">
        <v>1819</v>
      </c>
      <c r="D696" s="337">
        <v>60000</v>
      </c>
      <c r="E696" s="187" t="s">
        <v>14</v>
      </c>
      <c r="F696" s="187">
        <v>71351810</v>
      </c>
      <c r="G696" s="187" t="s">
        <v>1004</v>
      </c>
      <c r="H696" s="187" t="s">
        <v>14</v>
      </c>
      <c r="I696" s="23" t="s">
        <v>14</v>
      </c>
    </row>
    <row r="697" spans="1:9" ht="46.8" x14ac:dyDescent="0.35">
      <c r="A697" s="187" t="s">
        <v>1789</v>
      </c>
      <c r="B697" s="187" t="s">
        <v>859</v>
      </c>
      <c r="C697" s="255" t="s">
        <v>1820</v>
      </c>
      <c r="D697" s="337">
        <v>60000</v>
      </c>
      <c r="E697" s="187" t="s">
        <v>14</v>
      </c>
      <c r="F697" s="187">
        <v>90922000</v>
      </c>
      <c r="G697" s="187" t="s">
        <v>77</v>
      </c>
      <c r="H697" s="187" t="s">
        <v>14</v>
      </c>
      <c r="I697" s="23" t="s">
        <v>14</v>
      </c>
    </row>
    <row r="698" spans="1:9" ht="46.8" x14ac:dyDescent="0.35">
      <c r="A698" s="187" t="s">
        <v>1789</v>
      </c>
      <c r="B698" s="187" t="s">
        <v>50</v>
      </c>
      <c r="C698" s="255" t="s">
        <v>1821</v>
      </c>
      <c r="D698" s="337">
        <v>50000</v>
      </c>
      <c r="E698" s="187" t="s">
        <v>14</v>
      </c>
      <c r="F698" s="187">
        <v>50230000</v>
      </c>
      <c r="G698" s="187" t="s">
        <v>77</v>
      </c>
      <c r="H698" s="187" t="s">
        <v>14</v>
      </c>
      <c r="I698" s="23" t="s">
        <v>14</v>
      </c>
    </row>
    <row r="699" spans="1:9" ht="46.8" x14ac:dyDescent="0.35">
      <c r="A699" s="187" t="s">
        <v>1800</v>
      </c>
      <c r="B699" s="187" t="s">
        <v>50</v>
      </c>
      <c r="C699" s="255" t="s">
        <v>1822</v>
      </c>
      <c r="D699" s="337">
        <v>120000</v>
      </c>
      <c r="E699" s="187" t="s">
        <v>14</v>
      </c>
      <c r="F699" s="187">
        <v>42914000</v>
      </c>
      <c r="G699" s="187" t="s">
        <v>202</v>
      </c>
      <c r="H699" s="187" t="s">
        <v>14</v>
      </c>
      <c r="I699" s="23" t="s">
        <v>14</v>
      </c>
    </row>
    <row r="700" spans="1:9" ht="46.8" x14ac:dyDescent="0.35">
      <c r="A700" s="187" t="s">
        <v>1789</v>
      </c>
      <c r="B700" s="187" t="s">
        <v>50</v>
      </c>
      <c r="C700" s="255" t="s">
        <v>1823</v>
      </c>
      <c r="D700" s="337">
        <v>80000</v>
      </c>
      <c r="E700" s="187" t="s">
        <v>14</v>
      </c>
      <c r="F700" s="187" t="s">
        <v>1824</v>
      </c>
      <c r="G700" s="187" t="s">
        <v>1825</v>
      </c>
      <c r="H700" s="187" t="s">
        <v>14</v>
      </c>
      <c r="I700" s="23" t="s">
        <v>14</v>
      </c>
    </row>
    <row r="701" spans="1:9" ht="46.8" x14ac:dyDescent="0.35">
      <c r="A701" s="187" t="s">
        <v>1800</v>
      </c>
      <c r="B701" s="187" t="s">
        <v>13</v>
      </c>
      <c r="C701" s="255" t="s">
        <v>1826</v>
      </c>
      <c r="D701" s="337">
        <v>201000</v>
      </c>
      <c r="E701" s="187" t="s">
        <v>14</v>
      </c>
      <c r="F701" s="187" t="s">
        <v>1827</v>
      </c>
      <c r="G701" s="365" t="s">
        <v>309</v>
      </c>
      <c r="H701" s="187" t="s">
        <v>14</v>
      </c>
      <c r="I701" s="23" t="s">
        <v>14</v>
      </c>
    </row>
    <row r="702" spans="1:9" ht="62.4" x14ac:dyDescent="0.35">
      <c r="A702" s="187" t="s">
        <v>1800</v>
      </c>
      <c r="B702" s="187" t="s">
        <v>13</v>
      </c>
      <c r="C702" s="255" t="s">
        <v>1828</v>
      </c>
      <c r="D702" s="337">
        <v>299999</v>
      </c>
      <c r="E702" s="187" t="s">
        <v>72</v>
      </c>
      <c r="F702" s="187" t="s">
        <v>1829</v>
      </c>
      <c r="G702" s="365" t="s">
        <v>309</v>
      </c>
      <c r="H702" s="187" t="s">
        <v>14</v>
      </c>
      <c r="I702" s="23" t="s">
        <v>14</v>
      </c>
    </row>
    <row r="703" spans="1:9" ht="78" x14ac:dyDescent="0.35">
      <c r="A703" s="187" t="s">
        <v>1789</v>
      </c>
      <c r="B703" s="187" t="s">
        <v>13</v>
      </c>
      <c r="C703" s="255" t="s">
        <v>1830</v>
      </c>
      <c r="D703" s="337">
        <v>30000</v>
      </c>
      <c r="E703" s="187" t="s">
        <v>14</v>
      </c>
      <c r="F703" s="187" t="s">
        <v>1831</v>
      </c>
      <c r="G703" s="187" t="s">
        <v>309</v>
      </c>
      <c r="H703" s="187" t="s">
        <v>14</v>
      </c>
      <c r="I703" s="23" t="s">
        <v>14</v>
      </c>
    </row>
    <row r="704" spans="1:9" ht="93.6" x14ac:dyDescent="0.35">
      <c r="A704" s="187" t="s">
        <v>1789</v>
      </c>
      <c r="B704" s="187" t="s">
        <v>1832</v>
      </c>
      <c r="C704" s="255" t="s">
        <v>1833</v>
      </c>
      <c r="D704" s="337">
        <v>90000</v>
      </c>
      <c r="E704" s="187" t="s">
        <v>14</v>
      </c>
      <c r="F704" s="187" t="s">
        <v>1834</v>
      </c>
      <c r="G704" s="187" t="s">
        <v>77</v>
      </c>
      <c r="H704" s="187" t="s">
        <v>72</v>
      </c>
      <c r="I704" s="23" t="s">
        <v>14</v>
      </c>
    </row>
    <row r="705" spans="1:9" ht="78" x14ac:dyDescent="0.35">
      <c r="A705" s="187" t="s">
        <v>1800</v>
      </c>
      <c r="B705" s="187" t="s">
        <v>1832</v>
      </c>
      <c r="C705" s="255" t="s">
        <v>1835</v>
      </c>
      <c r="D705" s="337">
        <v>140000</v>
      </c>
      <c r="E705" s="187" t="s">
        <v>14</v>
      </c>
      <c r="F705" s="187" t="s">
        <v>1836</v>
      </c>
      <c r="G705" s="187" t="s">
        <v>77</v>
      </c>
      <c r="H705" s="187" t="s">
        <v>72</v>
      </c>
      <c r="I705" s="23" t="s">
        <v>14</v>
      </c>
    </row>
    <row r="706" spans="1:9" ht="78" x14ac:dyDescent="0.35">
      <c r="A706" s="187" t="s">
        <v>1800</v>
      </c>
      <c r="B706" s="187" t="s">
        <v>13</v>
      </c>
      <c r="C706" s="255" t="s">
        <v>1837</v>
      </c>
      <c r="D706" s="337">
        <v>199999</v>
      </c>
      <c r="E706" s="187" t="s">
        <v>14</v>
      </c>
      <c r="F706" s="187" t="s">
        <v>1838</v>
      </c>
      <c r="G706" s="187" t="s">
        <v>77</v>
      </c>
      <c r="H706" s="187" t="s">
        <v>72</v>
      </c>
      <c r="I706" s="23" t="s">
        <v>14</v>
      </c>
    </row>
    <row r="707" spans="1:9" ht="62.4" x14ac:dyDescent="0.35">
      <c r="A707" s="187" t="s">
        <v>1789</v>
      </c>
      <c r="B707" s="187" t="s">
        <v>13</v>
      </c>
      <c r="C707" s="255" t="s">
        <v>1839</v>
      </c>
      <c r="D707" s="337">
        <v>75000</v>
      </c>
      <c r="E707" s="187" t="s">
        <v>14</v>
      </c>
      <c r="F707" s="187" t="s">
        <v>1840</v>
      </c>
      <c r="G707" s="365" t="s">
        <v>309</v>
      </c>
      <c r="H707" s="187" t="s">
        <v>14</v>
      </c>
      <c r="I707" s="23" t="s">
        <v>14</v>
      </c>
    </row>
    <row r="708" spans="1:9" ht="46.8" x14ac:dyDescent="0.35">
      <c r="A708" s="187" t="s">
        <v>1789</v>
      </c>
      <c r="B708" s="187" t="s">
        <v>13</v>
      </c>
      <c r="C708" s="255" t="s">
        <v>1841</v>
      </c>
      <c r="D708" s="337">
        <v>169000</v>
      </c>
      <c r="E708" s="187" t="s">
        <v>14</v>
      </c>
      <c r="F708" s="187" t="s">
        <v>1842</v>
      </c>
      <c r="G708" s="187" t="s">
        <v>77</v>
      </c>
      <c r="H708" s="187" t="s">
        <v>14</v>
      </c>
      <c r="I708" s="23" t="s">
        <v>14</v>
      </c>
    </row>
    <row r="709" spans="1:9" ht="62.4" x14ac:dyDescent="0.35">
      <c r="A709" s="187" t="s">
        <v>1800</v>
      </c>
      <c r="B709" s="187" t="s">
        <v>1843</v>
      </c>
      <c r="C709" s="255" t="s">
        <v>1844</v>
      </c>
      <c r="D709" s="337">
        <v>220000</v>
      </c>
      <c r="E709" s="187" t="s">
        <v>14</v>
      </c>
      <c r="F709" s="187" t="s">
        <v>1845</v>
      </c>
      <c r="G709" s="187" t="s">
        <v>77</v>
      </c>
      <c r="H709" s="187" t="s">
        <v>72</v>
      </c>
      <c r="I709" s="23" t="s">
        <v>14</v>
      </c>
    </row>
    <row r="710" spans="1:9" ht="46.8" x14ac:dyDescent="0.35">
      <c r="A710" s="187" t="s">
        <v>1789</v>
      </c>
      <c r="B710" s="187" t="s">
        <v>859</v>
      </c>
      <c r="C710" s="255" t="s">
        <v>1846</v>
      </c>
      <c r="D710" s="337">
        <v>20000</v>
      </c>
      <c r="E710" s="187" t="s">
        <v>14</v>
      </c>
      <c r="F710" s="187" t="s">
        <v>1847</v>
      </c>
      <c r="G710" s="187" t="s">
        <v>77</v>
      </c>
      <c r="H710" s="187" t="s">
        <v>72</v>
      </c>
      <c r="I710" s="23" t="s">
        <v>14</v>
      </c>
    </row>
    <row r="711" spans="1:9" ht="93.6" x14ac:dyDescent="0.35">
      <c r="A711" s="187" t="s">
        <v>1789</v>
      </c>
      <c r="B711" s="187" t="s">
        <v>1848</v>
      </c>
      <c r="C711" s="255" t="s">
        <v>1849</v>
      </c>
      <c r="D711" s="337">
        <v>50000</v>
      </c>
      <c r="E711" s="187" t="s">
        <v>14</v>
      </c>
      <c r="F711" s="187" t="s">
        <v>1850</v>
      </c>
      <c r="G711" s="187" t="s">
        <v>77</v>
      </c>
      <c r="H711" s="187" t="s">
        <v>14</v>
      </c>
      <c r="I711" s="23" t="s">
        <v>14</v>
      </c>
    </row>
    <row r="712" spans="1:9" ht="46.8" x14ac:dyDescent="0.35">
      <c r="A712" s="187" t="s">
        <v>1789</v>
      </c>
      <c r="B712" s="187" t="s">
        <v>1848</v>
      </c>
      <c r="C712" s="255" t="s">
        <v>1851</v>
      </c>
      <c r="D712" s="337">
        <v>20000</v>
      </c>
      <c r="E712" s="187" t="s">
        <v>14</v>
      </c>
      <c r="F712" s="187" t="s">
        <v>1852</v>
      </c>
      <c r="G712" s="187" t="s">
        <v>77</v>
      </c>
      <c r="H712" s="187" t="s">
        <v>72</v>
      </c>
      <c r="I712" s="23" t="s">
        <v>14</v>
      </c>
    </row>
    <row r="713" spans="1:9" ht="46.8" x14ac:dyDescent="0.35">
      <c r="A713" s="187" t="s">
        <v>1789</v>
      </c>
      <c r="B713" s="187" t="s">
        <v>859</v>
      </c>
      <c r="C713" s="255" t="s">
        <v>1853</v>
      </c>
      <c r="D713" s="337">
        <v>60000</v>
      </c>
      <c r="E713" s="187" t="s">
        <v>14</v>
      </c>
      <c r="F713" s="187" t="s">
        <v>1854</v>
      </c>
      <c r="G713" s="187" t="s">
        <v>77</v>
      </c>
      <c r="H713" s="187" t="s">
        <v>72</v>
      </c>
      <c r="I713" s="23" t="s">
        <v>14</v>
      </c>
    </row>
    <row r="714" spans="1:9" ht="78" x14ac:dyDescent="0.35">
      <c r="A714" s="187" t="s">
        <v>1789</v>
      </c>
      <c r="B714" s="187" t="s">
        <v>13</v>
      </c>
      <c r="C714" s="255" t="s">
        <v>1855</v>
      </c>
      <c r="D714" s="337">
        <v>60000</v>
      </c>
      <c r="E714" s="187" t="s">
        <v>14</v>
      </c>
      <c r="F714" s="187" t="s">
        <v>1856</v>
      </c>
      <c r="G714" s="187" t="s">
        <v>77</v>
      </c>
      <c r="H714" s="187" t="s">
        <v>72</v>
      </c>
      <c r="I714" s="23" t="s">
        <v>14</v>
      </c>
    </row>
    <row r="715" spans="1:9" ht="124.8" x14ac:dyDescent="0.35">
      <c r="A715" s="187" t="s">
        <v>1800</v>
      </c>
      <c r="B715" s="187" t="s">
        <v>1843</v>
      </c>
      <c r="C715" s="255" t="s">
        <v>1857</v>
      </c>
      <c r="D715" s="337">
        <v>299000</v>
      </c>
      <c r="E715" s="187" t="s">
        <v>14</v>
      </c>
      <c r="F715" s="365" t="s">
        <v>1858</v>
      </c>
      <c r="G715" s="365" t="s">
        <v>77</v>
      </c>
      <c r="H715" s="187" t="s">
        <v>14</v>
      </c>
      <c r="I715" s="23" t="s">
        <v>14</v>
      </c>
    </row>
    <row r="716" spans="1:9" ht="109.2" x14ac:dyDescent="0.35">
      <c r="A716" s="187" t="s">
        <v>1789</v>
      </c>
      <c r="B716" s="187" t="s">
        <v>1848</v>
      </c>
      <c r="C716" s="255" t="s">
        <v>1859</v>
      </c>
      <c r="D716" s="337">
        <v>12000</v>
      </c>
      <c r="E716" s="187" t="s">
        <v>14</v>
      </c>
      <c r="F716" s="365" t="s">
        <v>1860</v>
      </c>
      <c r="G716" s="365" t="s">
        <v>91</v>
      </c>
      <c r="H716" s="187" t="s">
        <v>14</v>
      </c>
      <c r="I716" s="23" t="s">
        <v>14</v>
      </c>
    </row>
    <row r="717" spans="1:9" ht="46.8" x14ac:dyDescent="0.35">
      <c r="A717" s="187" t="s">
        <v>1789</v>
      </c>
      <c r="B717" s="187" t="s">
        <v>13</v>
      </c>
      <c r="C717" s="255" t="s">
        <v>1861</v>
      </c>
      <c r="D717" s="337">
        <v>99000</v>
      </c>
      <c r="E717" s="187" t="s">
        <v>14</v>
      </c>
      <c r="F717" s="187" t="s">
        <v>1862</v>
      </c>
      <c r="G717" s="187" t="s">
        <v>77</v>
      </c>
      <c r="H717" s="187" t="s">
        <v>14</v>
      </c>
      <c r="I717" s="23" t="s">
        <v>14</v>
      </c>
    </row>
    <row r="718" spans="1:9" ht="46.8" x14ac:dyDescent="0.35">
      <c r="A718" s="187" t="s">
        <v>1789</v>
      </c>
      <c r="B718" s="187" t="s">
        <v>859</v>
      </c>
      <c r="C718" s="255" t="s">
        <v>1863</v>
      </c>
      <c r="D718" s="337">
        <v>20000</v>
      </c>
      <c r="E718" s="187"/>
      <c r="F718" s="187" t="s">
        <v>796</v>
      </c>
      <c r="G718" s="187" t="s">
        <v>270</v>
      </c>
      <c r="H718" s="23" t="s">
        <v>72</v>
      </c>
      <c r="I718" s="23" t="s">
        <v>14</v>
      </c>
    </row>
    <row r="719" spans="1:9" ht="46.8" x14ac:dyDescent="0.35">
      <c r="A719" s="187" t="s">
        <v>1789</v>
      </c>
      <c r="B719" s="187" t="s">
        <v>859</v>
      </c>
      <c r="C719" s="255" t="s">
        <v>1864</v>
      </c>
      <c r="D719" s="337">
        <v>99000</v>
      </c>
      <c r="E719" s="187" t="s">
        <v>72</v>
      </c>
      <c r="F719" s="187" t="s">
        <v>1865</v>
      </c>
      <c r="G719" s="187" t="s">
        <v>270</v>
      </c>
      <c r="H719" s="23" t="s">
        <v>72</v>
      </c>
      <c r="I719" s="23" t="s">
        <v>14</v>
      </c>
    </row>
    <row r="720" spans="1:9" ht="46.8" x14ac:dyDescent="0.35">
      <c r="A720" s="187" t="s">
        <v>1789</v>
      </c>
      <c r="B720" s="187" t="s">
        <v>1349</v>
      </c>
      <c r="C720" s="255" t="s">
        <v>1866</v>
      </c>
      <c r="D720" s="337">
        <v>30000</v>
      </c>
      <c r="E720" s="187" t="s">
        <v>14</v>
      </c>
      <c r="F720" s="187">
        <v>39831200</v>
      </c>
      <c r="G720" s="187" t="s">
        <v>270</v>
      </c>
      <c r="H720" s="23" t="s">
        <v>72</v>
      </c>
      <c r="I720" s="23" t="s">
        <v>14</v>
      </c>
    </row>
    <row r="721" spans="1:9" ht="46.8" x14ac:dyDescent="0.35">
      <c r="A721" s="187" t="s">
        <v>1789</v>
      </c>
      <c r="B721" s="187" t="s">
        <v>1848</v>
      </c>
      <c r="C721" s="255" t="s">
        <v>1867</v>
      </c>
      <c r="D721" s="337">
        <v>15000</v>
      </c>
      <c r="E721" s="187" t="s">
        <v>14</v>
      </c>
      <c r="F721" s="187" t="s">
        <v>1868</v>
      </c>
      <c r="G721" s="187" t="s">
        <v>77</v>
      </c>
      <c r="H721" s="187" t="s">
        <v>14</v>
      </c>
      <c r="I721" s="23" t="s">
        <v>14</v>
      </c>
    </row>
    <row r="722" spans="1:9" ht="46.8" x14ac:dyDescent="0.35">
      <c r="A722" s="187" t="s">
        <v>1789</v>
      </c>
      <c r="B722" s="187" t="s">
        <v>859</v>
      </c>
      <c r="C722" s="255" t="s">
        <v>1869</v>
      </c>
      <c r="D722" s="337">
        <v>20000</v>
      </c>
      <c r="E722" s="187" t="s">
        <v>72</v>
      </c>
      <c r="F722" s="187" t="s">
        <v>644</v>
      </c>
      <c r="G722" s="187" t="s">
        <v>270</v>
      </c>
      <c r="H722" s="23" t="s">
        <v>72</v>
      </c>
      <c r="I722" s="23" t="s">
        <v>14</v>
      </c>
    </row>
    <row r="723" spans="1:9" ht="46.8" x14ac:dyDescent="0.35">
      <c r="A723" s="187" t="s">
        <v>1789</v>
      </c>
      <c r="B723" s="187" t="s">
        <v>859</v>
      </c>
      <c r="C723" s="255" t="s">
        <v>1870</v>
      </c>
      <c r="D723" s="337">
        <v>50000</v>
      </c>
      <c r="E723" s="187" t="s">
        <v>14</v>
      </c>
      <c r="F723" s="365" t="s">
        <v>1871</v>
      </c>
      <c r="G723" s="365" t="s">
        <v>77</v>
      </c>
      <c r="H723" s="23" t="s">
        <v>72</v>
      </c>
      <c r="I723" s="23" t="s">
        <v>14</v>
      </c>
    </row>
    <row r="724" spans="1:9" ht="46.8" x14ac:dyDescent="0.35">
      <c r="A724" s="187" t="s">
        <v>1789</v>
      </c>
      <c r="B724" s="187" t="s">
        <v>13</v>
      </c>
      <c r="C724" s="255" t="s">
        <v>1872</v>
      </c>
      <c r="D724" s="337">
        <v>40000</v>
      </c>
      <c r="E724" s="187" t="s">
        <v>14</v>
      </c>
      <c r="F724" s="187">
        <v>44211100</v>
      </c>
      <c r="G724" s="365" t="s">
        <v>46</v>
      </c>
      <c r="H724" s="187" t="s">
        <v>14</v>
      </c>
      <c r="I724" s="23" t="s">
        <v>14</v>
      </c>
    </row>
    <row r="725" spans="1:9" ht="202.8" x14ac:dyDescent="0.35">
      <c r="A725" s="187" t="s">
        <v>1789</v>
      </c>
      <c r="B725" s="187" t="s">
        <v>1843</v>
      </c>
      <c r="C725" s="255" t="s">
        <v>1873</v>
      </c>
      <c r="D725" s="337">
        <f>8000+2500*2+2500*2+4000</f>
        <v>22000</v>
      </c>
      <c r="E725" s="187" t="s">
        <v>14</v>
      </c>
      <c r="F725" s="365" t="s">
        <v>1874</v>
      </c>
      <c r="G725" s="365" t="s">
        <v>91</v>
      </c>
      <c r="H725" s="187" t="s">
        <v>14</v>
      </c>
      <c r="I725" s="23" t="s">
        <v>14</v>
      </c>
    </row>
    <row r="726" spans="1:9" ht="46.8" x14ac:dyDescent="0.35">
      <c r="A726" s="187" t="s">
        <v>1800</v>
      </c>
      <c r="B726" s="187" t="s">
        <v>859</v>
      </c>
      <c r="C726" s="255" t="s">
        <v>1875</v>
      </c>
      <c r="D726" s="337">
        <f>35000*3</f>
        <v>105000</v>
      </c>
      <c r="E726" s="187" t="s">
        <v>14</v>
      </c>
      <c r="F726" s="365" t="s">
        <v>1876</v>
      </c>
      <c r="G726" s="365" t="s">
        <v>77</v>
      </c>
      <c r="H726" s="23" t="s">
        <v>72</v>
      </c>
      <c r="I726" s="23" t="s">
        <v>14</v>
      </c>
    </row>
    <row r="727" spans="1:9" ht="46.8" x14ac:dyDescent="0.35">
      <c r="A727" s="187" t="s">
        <v>1789</v>
      </c>
      <c r="B727" s="187" t="s">
        <v>1877</v>
      </c>
      <c r="C727" s="366" t="s">
        <v>1878</v>
      </c>
      <c r="D727" s="337">
        <f>7500*2</f>
        <v>15000</v>
      </c>
      <c r="E727" s="187" t="s">
        <v>14</v>
      </c>
      <c r="F727" s="187" t="s">
        <v>1879</v>
      </c>
      <c r="G727" s="365" t="s">
        <v>77</v>
      </c>
      <c r="H727" s="23" t="s">
        <v>72</v>
      </c>
      <c r="I727" s="23" t="s">
        <v>14</v>
      </c>
    </row>
    <row r="728" spans="1:9" ht="124.8" x14ac:dyDescent="0.35">
      <c r="A728" s="187" t="s">
        <v>1789</v>
      </c>
      <c r="B728" s="367" t="s">
        <v>50</v>
      </c>
      <c r="C728" s="368" t="s">
        <v>1880</v>
      </c>
      <c r="D728" s="369">
        <v>40000</v>
      </c>
      <c r="E728" s="187" t="s">
        <v>14</v>
      </c>
      <c r="F728" s="365" t="s">
        <v>1881</v>
      </c>
      <c r="G728" s="365" t="s">
        <v>91</v>
      </c>
      <c r="H728" s="187" t="s">
        <v>14</v>
      </c>
      <c r="I728" s="23" t="s">
        <v>14</v>
      </c>
    </row>
    <row r="729" spans="1:9" ht="62.4" customHeight="1" x14ac:dyDescent="0.35">
      <c r="A729" s="187" t="s">
        <v>1789</v>
      </c>
      <c r="B729" s="367" t="s">
        <v>50</v>
      </c>
      <c r="C729" s="368" t="s">
        <v>1882</v>
      </c>
      <c r="D729" s="369">
        <v>20000</v>
      </c>
      <c r="E729" s="187" t="s">
        <v>14</v>
      </c>
      <c r="F729" s="365" t="s">
        <v>1883</v>
      </c>
      <c r="G729" s="365" t="s">
        <v>46</v>
      </c>
      <c r="H729" s="187" t="s">
        <v>14</v>
      </c>
      <c r="I729" s="23" t="s">
        <v>14</v>
      </c>
    </row>
    <row r="730" spans="1:9" ht="62.4" x14ac:dyDescent="0.35">
      <c r="A730" s="187" t="s">
        <v>1789</v>
      </c>
      <c r="B730" s="367" t="s">
        <v>50</v>
      </c>
      <c r="C730" s="368" t="s">
        <v>1884</v>
      </c>
      <c r="D730" s="369">
        <v>40000</v>
      </c>
      <c r="E730" s="187" t="s">
        <v>14</v>
      </c>
      <c r="F730" s="365" t="s">
        <v>1885</v>
      </c>
      <c r="G730" s="365" t="s">
        <v>77</v>
      </c>
      <c r="H730" s="187" t="s">
        <v>14</v>
      </c>
      <c r="I730" s="23" t="s">
        <v>14</v>
      </c>
    </row>
    <row r="731" spans="1:9" ht="62.4" customHeight="1" x14ac:dyDescent="0.35">
      <c r="A731" s="187" t="s">
        <v>1789</v>
      </c>
      <c r="B731" s="367" t="s">
        <v>1792</v>
      </c>
      <c r="C731" s="368" t="s">
        <v>1886</v>
      </c>
      <c r="D731" s="369">
        <v>20000</v>
      </c>
      <c r="E731" s="187" t="s">
        <v>14</v>
      </c>
      <c r="F731" s="187" t="s">
        <v>1887</v>
      </c>
      <c r="G731" s="365" t="s">
        <v>77</v>
      </c>
      <c r="H731" s="23" t="s">
        <v>72</v>
      </c>
      <c r="I731" s="23" t="s">
        <v>14</v>
      </c>
    </row>
    <row r="732" spans="1:9" ht="46.8" x14ac:dyDescent="0.35">
      <c r="A732" s="187" t="s">
        <v>1789</v>
      </c>
      <c r="B732" s="367" t="s">
        <v>859</v>
      </c>
      <c r="C732" s="368" t="s">
        <v>1888</v>
      </c>
      <c r="D732" s="369">
        <v>80000</v>
      </c>
      <c r="E732" s="187" t="s">
        <v>14</v>
      </c>
      <c r="F732" s="187">
        <v>45233253</v>
      </c>
      <c r="G732" s="365" t="s">
        <v>77</v>
      </c>
      <c r="H732" s="23" t="s">
        <v>72</v>
      </c>
      <c r="I732" s="23" t="s">
        <v>14</v>
      </c>
    </row>
    <row r="733" spans="1:9" ht="46.8" x14ac:dyDescent="0.35">
      <c r="A733" s="187" t="s">
        <v>1789</v>
      </c>
      <c r="B733" s="367" t="s">
        <v>859</v>
      </c>
      <c r="C733" s="368" t="s">
        <v>1889</v>
      </c>
      <c r="D733" s="369">
        <v>20000</v>
      </c>
      <c r="E733" s="187" t="s">
        <v>14</v>
      </c>
      <c r="F733" s="365" t="s">
        <v>1890</v>
      </c>
      <c r="G733" s="365" t="s">
        <v>77</v>
      </c>
      <c r="H733" s="23" t="s">
        <v>72</v>
      </c>
      <c r="I733" s="23" t="s">
        <v>14</v>
      </c>
    </row>
    <row r="734" spans="1:9" ht="46.8" x14ac:dyDescent="0.35">
      <c r="A734" s="187" t="s">
        <v>1789</v>
      </c>
      <c r="B734" s="367" t="s">
        <v>50</v>
      </c>
      <c r="C734" s="368" t="s">
        <v>1891</v>
      </c>
      <c r="D734" s="369">
        <v>60000</v>
      </c>
      <c r="E734" s="187" t="s">
        <v>14</v>
      </c>
      <c r="F734" s="365" t="s">
        <v>1892</v>
      </c>
      <c r="G734" s="187" t="s">
        <v>91</v>
      </c>
      <c r="H734" s="187" t="s">
        <v>14</v>
      </c>
      <c r="I734" s="23" t="s">
        <v>14</v>
      </c>
    </row>
    <row r="735" spans="1:9" ht="46.8" x14ac:dyDescent="0.35">
      <c r="A735" s="187" t="s">
        <v>1789</v>
      </c>
      <c r="B735" s="367" t="s">
        <v>859</v>
      </c>
      <c r="C735" s="368" t="s">
        <v>1893</v>
      </c>
      <c r="D735" s="369">
        <v>22000</v>
      </c>
      <c r="E735" s="187" t="s">
        <v>14</v>
      </c>
      <c r="F735" s="187" t="s">
        <v>1894</v>
      </c>
      <c r="G735" s="187" t="s">
        <v>77</v>
      </c>
      <c r="H735" s="187" t="s">
        <v>14</v>
      </c>
      <c r="I735" s="23" t="s">
        <v>14</v>
      </c>
    </row>
    <row r="736" spans="1:9" ht="46.8" x14ac:dyDescent="0.35">
      <c r="A736" s="187" t="s">
        <v>1789</v>
      </c>
      <c r="B736" s="367" t="s">
        <v>859</v>
      </c>
      <c r="C736" s="368" t="s">
        <v>1895</v>
      </c>
      <c r="D736" s="369">
        <v>15000</v>
      </c>
      <c r="E736" s="187" t="s">
        <v>14</v>
      </c>
      <c r="F736" s="187">
        <v>71630000</v>
      </c>
      <c r="G736" s="187" t="s">
        <v>77</v>
      </c>
      <c r="H736" s="23" t="s">
        <v>72</v>
      </c>
      <c r="I736" s="23" t="s">
        <v>14</v>
      </c>
    </row>
    <row r="737" spans="1:9" ht="46.8" x14ac:dyDescent="0.35">
      <c r="A737" s="187" t="s">
        <v>1789</v>
      </c>
      <c r="B737" s="367" t="s">
        <v>859</v>
      </c>
      <c r="C737" s="368" t="s">
        <v>1896</v>
      </c>
      <c r="D737" s="369">
        <v>40000</v>
      </c>
      <c r="E737" s="187" t="s">
        <v>14</v>
      </c>
      <c r="F737" s="187">
        <v>45331210</v>
      </c>
      <c r="G737" s="187" t="s">
        <v>46</v>
      </c>
      <c r="H737" s="187" t="s">
        <v>14</v>
      </c>
      <c r="I737" s="23" t="s">
        <v>14</v>
      </c>
    </row>
    <row r="738" spans="1:9" ht="46.8" x14ac:dyDescent="0.35">
      <c r="A738" s="187" t="s">
        <v>1789</v>
      </c>
      <c r="B738" s="367" t="s">
        <v>859</v>
      </c>
      <c r="C738" s="368" t="s">
        <v>1897</v>
      </c>
      <c r="D738" s="369">
        <v>25000</v>
      </c>
      <c r="E738" s="187" t="s">
        <v>14</v>
      </c>
      <c r="F738" s="187">
        <v>50410000</v>
      </c>
      <c r="G738" s="187" t="s">
        <v>77</v>
      </c>
      <c r="H738" s="23" t="s">
        <v>72</v>
      </c>
      <c r="I738" s="23" t="s">
        <v>14</v>
      </c>
    </row>
    <row r="739" spans="1:9" ht="93.6" x14ac:dyDescent="0.35">
      <c r="A739" s="187" t="s">
        <v>1789</v>
      </c>
      <c r="B739" s="367" t="s">
        <v>859</v>
      </c>
      <c r="C739" s="368" t="s">
        <v>1898</v>
      </c>
      <c r="D739" s="369">
        <v>80000</v>
      </c>
      <c r="E739" s="187" t="s">
        <v>14</v>
      </c>
      <c r="F739" s="187">
        <v>45330000</v>
      </c>
      <c r="G739" s="187" t="s">
        <v>77</v>
      </c>
      <c r="H739" s="23" t="s">
        <v>72</v>
      </c>
      <c r="I739" s="23" t="s">
        <v>14</v>
      </c>
    </row>
    <row r="740" spans="1:9" ht="46.8" x14ac:dyDescent="0.35">
      <c r="A740" s="187" t="s">
        <v>1789</v>
      </c>
      <c r="B740" s="367" t="s">
        <v>859</v>
      </c>
      <c r="C740" s="368" t="s">
        <v>1899</v>
      </c>
      <c r="D740" s="369">
        <v>10000</v>
      </c>
      <c r="E740" s="187" t="s">
        <v>14</v>
      </c>
      <c r="F740" s="187">
        <v>45442121</v>
      </c>
      <c r="G740" s="187" t="s">
        <v>77</v>
      </c>
      <c r="H740" s="187" t="s">
        <v>14</v>
      </c>
      <c r="I740" s="23" t="s">
        <v>14</v>
      </c>
    </row>
    <row r="741" spans="1:9" ht="62.4" customHeight="1" x14ac:dyDescent="0.35">
      <c r="A741" s="187" t="s">
        <v>1789</v>
      </c>
      <c r="B741" s="367" t="s">
        <v>50</v>
      </c>
      <c r="C741" s="368" t="s">
        <v>1900</v>
      </c>
      <c r="D741" s="369">
        <v>90000</v>
      </c>
      <c r="E741" s="187" t="s">
        <v>14</v>
      </c>
      <c r="F741" s="187">
        <v>45261210</v>
      </c>
      <c r="G741" s="187" t="s">
        <v>46</v>
      </c>
      <c r="H741" s="187" t="s">
        <v>14</v>
      </c>
      <c r="I741" s="23" t="s">
        <v>14</v>
      </c>
    </row>
    <row r="742" spans="1:9" ht="62.4" x14ac:dyDescent="0.35">
      <c r="A742" s="23" t="s">
        <v>1789</v>
      </c>
      <c r="B742" s="308" t="s">
        <v>859</v>
      </c>
      <c r="C742" s="275" t="s">
        <v>1901</v>
      </c>
      <c r="D742" s="348">
        <v>59990</v>
      </c>
      <c r="E742" s="23" t="s">
        <v>14</v>
      </c>
      <c r="F742" s="26" t="s">
        <v>1902</v>
      </c>
      <c r="G742" s="26" t="s">
        <v>1049</v>
      </c>
      <c r="H742" s="23" t="s">
        <v>14</v>
      </c>
      <c r="I742" s="23" t="s">
        <v>14</v>
      </c>
    </row>
    <row r="743" spans="1:9" ht="46.8" x14ac:dyDescent="0.35">
      <c r="A743" s="23" t="s">
        <v>1789</v>
      </c>
      <c r="B743" s="308" t="s">
        <v>1349</v>
      </c>
      <c r="C743" s="275" t="s">
        <v>1903</v>
      </c>
      <c r="D743" s="348">
        <v>58080</v>
      </c>
      <c r="E743" s="23" t="s">
        <v>14</v>
      </c>
      <c r="F743" s="370" t="s">
        <v>1904</v>
      </c>
      <c r="G743" s="26" t="s">
        <v>270</v>
      </c>
      <c r="H743" s="23" t="s">
        <v>14</v>
      </c>
      <c r="I743" s="23" t="s">
        <v>14</v>
      </c>
    </row>
    <row r="744" spans="1:9" ht="62.4" x14ac:dyDescent="0.35">
      <c r="A744" s="23" t="s">
        <v>1789</v>
      </c>
      <c r="B744" s="308" t="s">
        <v>1848</v>
      </c>
      <c r="C744" s="371" t="s">
        <v>1905</v>
      </c>
      <c r="D744" s="372">
        <v>18685</v>
      </c>
      <c r="E744" s="23" t="s">
        <v>72</v>
      </c>
      <c r="F744" s="33" t="s">
        <v>1906</v>
      </c>
      <c r="G744" s="23" t="s">
        <v>270</v>
      </c>
      <c r="H744" s="23" t="s">
        <v>14</v>
      </c>
      <c r="I744" s="23" t="s">
        <v>14</v>
      </c>
    </row>
    <row r="745" spans="1:9" ht="46.8" x14ac:dyDescent="0.35">
      <c r="A745" s="23" t="s">
        <v>1800</v>
      </c>
      <c r="B745" s="308" t="s">
        <v>1349</v>
      </c>
      <c r="C745" s="371" t="s">
        <v>1907</v>
      </c>
      <c r="D745" s="348">
        <v>110000</v>
      </c>
      <c r="E745" s="23" t="s">
        <v>72</v>
      </c>
      <c r="F745" s="370" t="s">
        <v>1908</v>
      </c>
      <c r="G745" s="23" t="s">
        <v>77</v>
      </c>
      <c r="H745" s="23" t="s">
        <v>72</v>
      </c>
      <c r="I745" s="23" t="s">
        <v>14</v>
      </c>
    </row>
    <row r="746" spans="1:9" ht="46.8" x14ac:dyDescent="0.35">
      <c r="A746" s="23" t="s">
        <v>1800</v>
      </c>
      <c r="B746" s="308" t="s">
        <v>859</v>
      </c>
      <c r="C746" s="275" t="s">
        <v>1909</v>
      </c>
      <c r="D746" s="348">
        <v>200000</v>
      </c>
      <c r="E746" s="23" t="s">
        <v>14</v>
      </c>
      <c r="F746" s="23" t="s">
        <v>1910</v>
      </c>
      <c r="G746" s="23" t="s">
        <v>270</v>
      </c>
      <c r="H746" s="23" t="s">
        <v>14</v>
      </c>
      <c r="I746" s="23" t="s">
        <v>14</v>
      </c>
    </row>
    <row r="747" spans="1:9" ht="62.4" x14ac:dyDescent="0.35">
      <c r="A747" s="23" t="s">
        <v>1789</v>
      </c>
      <c r="B747" s="308" t="s">
        <v>1843</v>
      </c>
      <c r="C747" s="275" t="s">
        <v>1911</v>
      </c>
      <c r="D747" s="348">
        <v>26900</v>
      </c>
      <c r="E747" s="23" t="s">
        <v>14</v>
      </c>
      <c r="F747" s="33" t="s">
        <v>1912</v>
      </c>
      <c r="G747" s="23" t="s">
        <v>77</v>
      </c>
      <c r="H747" s="23" t="s">
        <v>72</v>
      </c>
      <c r="I747" s="23" t="s">
        <v>14</v>
      </c>
    </row>
    <row r="748" spans="1:9" ht="46.8" x14ac:dyDescent="0.35">
      <c r="A748" s="23" t="s">
        <v>1800</v>
      </c>
      <c r="B748" s="308" t="s">
        <v>13</v>
      </c>
      <c r="C748" s="275" t="s">
        <v>1913</v>
      </c>
      <c r="D748" s="372">
        <v>120750</v>
      </c>
      <c r="E748" s="23" t="s">
        <v>72</v>
      </c>
      <c r="F748" s="23" t="s">
        <v>1914</v>
      </c>
      <c r="G748" s="23" t="s">
        <v>77</v>
      </c>
      <c r="H748" s="23" t="s">
        <v>72</v>
      </c>
      <c r="I748" s="23" t="s">
        <v>14</v>
      </c>
    </row>
    <row r="749" spans="1:9" ht="93.6" x14ac:dyDescent="0.35">
      <c r="A749" s="187" t="s">
        <v>1791</v>
      </c>
      <c r="B749" s="308" t="s">
        <v>1848</v>
      </c>
      <c r="C749" s="275" t="s">
        <v>1915</v>
      </c>
      <c r="D749" s="348">
        <v>590000</v>
      </c>
      <c r="E749" s="23" t="s">
        <v>14</v>
      </c>
      <c r="F749" s="23" t="s">
        <v>1916</v>
      </c>
      <c r="G749" s="23" t="s">
        <v>77</v>
      </c>
      <c r="H749" s="23" t="s">
        <v>72</v>
      </c>
      <c r="I749" s="23" t="s">
        <v>14</v>
      </c>
    </row>
    <row r="750" spans="1:9" ht="93.6" x14ac:dyDescent="0.35">
      <c r="A750" s="23" t="s">
        <v>1789</v>
      </c>
      <c r="B750" s="308" t="s">
        <v>1843</v>
      </c>
      <c r="C750" s="275" t="s">
        <v>1917</v>
      </c>
      <c r="D750" s="348">
        <v>90000</v>
      </c>
      <c r="E750" s="23" t="s">
        <v>14</v>
      </c>
      <c r="F750" s="23" t="s">
        <v>1918</v>
      </c>
      <c r="G750" s="23" t="s">
        <v>77</v>
      </c>
      <c r="H750" s="23" t="s">
        <v>72</v>
      </c>
      <c r="I750" s="23" t="s">
        <v>14</v>
      </c>
    </row>
    <row r="751" spans="1:9" ht="46.8" x14ac:dyDescent="0.35">
      <c r="A751" s="23" t="s">
        <v>1789</v>
      </c>
      <c r="B751" s="308" t="s">
        <v>13</v>
      </c>
      <c r="C751" s="275" t="s">
        <v>1919</v>
      </c>
      <c r="D751" s="373">
        <v>44010.6</v>
      </c>
      <c r="E751" s="23" t="s">
        <v>14</v>
      </c>
      <c r="F751" s="23" t="s">
        <v>1920</v>
      </c>
      <c r="G751" s="23" t="s">
        <v>77</v>
      </c>
      <c r="H751" s="23" t="s">
        <v>72</v>
      </c>
      <c r="I751" s="23" t="s">
        <v>14</v>
      </c>
    </row>
    <row r="752" spans="1:9" ht="46.8" x14ac:dyDescent="0.35">
      <c r="A752" s="23" t="s">
        <v>1789</v>
      </c>
      <c r="B752" s="308" t="s">
        <v>1349</v>
      </c>
      <c r="C752" s="371" t="s">
        <v>1921</v>
      </c>
      <c r="D752" s="348">
        <v>72000</v>
      </c>
      <c r="E752" s="23" t="s">
        <v>14</v>
      </c>
      <c r="F752" s="23" t="s">
        <v>1922</v>
      </c>
      <c r="G752" s="23" t="s">
        <v>77</v>
      </c>
      <c r="H752" s="23" t="s">
        <v>72</v>
      </c>
      <c r="I752" s="23" t="s">
        <v>14</v>
      </c>
    </row>
    <row r="753" spans="1:9" ht="62.4" x14ac:dyDescent="0.35">
      <c r="A753" s="23" t="s">
        <v>1789</v>
      </c>
      <c r="B753" s="308" t="s">
        <v>1349</v>
      </c>
      <c r="C753" s="275" t="s">
        <v>1923</v>
      </c>
      <c r="D753" s="348">
        <v>59000</v>
      </c>
      <c r="E753" s="23" t="s">
        <v>14</v>
      </c>
      <c r="F753" s="33" t="s">
        <v>1924</v>
      </c>
      <c r="G753" s="23" t="s">
        <v>77</v>
      </c>
      <c r="H753" s="23" t="s">
        <v>72</v>
      </c>
      <c r="I753" s="23" t="s">
        <v>14</v>
      </c>
    </row>
    <row r="754" spans="1:9" ht="46.8" x14ac:dyDescent="0.35">
      <c r="A754" s="23" t="s">
        <v>1789</v>
      </c>
      <c r="B754" s="308" t="s">
        <v>1349</v>
      </c>
      <c r="C754" s="275" t="s">
        <v>1925</v>
      </c>
      <c r="D754" s="348">
        <v>9216.92</v>
      </c>
      <c r="E754" s="23" t="s">
        <v>14</v>
      </c>
      <c r="F754" s="23" t="s">
        <v>1926</v>
      </c>
      <c r="G754" s="23" t="s">
        <v>77</v>
      </c>
      <c r="H754" s="23" t="s">
        <v>72</v>
      </c>
      <c r="I754" s="23" t="s">
        <v>14</v>
      </c>
    </row>
    <row r="755" spans="1:9" ht="62.4" x14ac:dyDescent="0.35">
      <c r="A755" s="23" t="s">
        <v>1789</v>
      </c>
      <c r="B755" s="308" t="s">
        <v>1349</v>
      </c>
      <c r="C755" s="275" t="s">
        <v>1927</v>
      </c>
      <c r="D755" s="348">
        <v>70449.84</v>
      </c>
      <c r="E755" s="23" t="s">
        <v>14</v>
      </c>
      <c r="F755" s="23" t="s">
        <v>1928</v>
      </c>
      <c r="G755" s="23" t="s">
        <v>77</v>
      </c>
      <c r="H755" s="23" t="s">
        <v>72</v>
      </c>
      <c r="I755" s="23" t="s">
        <v>14</v>
      </c>
    </row>
    <row r="756" spans="1:9" ht="46.8" x14ac:dyDescent="0.35">
      <c r="A756" s="23" t="s">
        <v>1789</v>
      </c>
      <c r="B756" s="308" t="s">
        <v>1349</v>
      </c>
      <c r="C756" s="275" t="s">
        <v>1929</v>
      </c>
      <c r="D756" s="348">
        <v>10386.459999999999</v>
      </c>
      <c r="E756" s="23" t="s">
        <v>14</v>
      </c>
      <c r="F756" s="23" t="s">
        <v>1928</v>
      </c>
      <c r="G756" s="23" t="s">
        <v>77</v>
      </c>
      <c r="H756" s="23" t="s">
        <v>72</v>
      </c>
      <c r="I756" s="23" t="s">
        <v>14</v>
      </c>
    </row>
    <row r="757" spans="1:9" ht="109.2" x14ac:dyDescent="0.35">
      <c r="A757" s="23" t="s">
        <v>1800</v>
      </c>
      <c r="B757" s="308" t="s">
        <v>1843</v>
      </c>
      <c r="C757" s="275" t="s">
        <v>1930</v>
      </c>
      <c r="D757" s="348">
        <v>180000</v>
      </c>
      <c r="E757" s="23" t="s">
        <v>14</v>
      </c>
      <c r="F757" s="23" t="s">
        <v>1931</v>
      </c>
      <c r="G757" s="23" t="s">
        <v>77</v>
      </c>
      <c r="H757" s="23" t="s">
        <v>72</v>
      </c>
      <c r="I757" s="23" t="s">
        <v>14</v>
      </c>
    </row>
    <row r="758" spans="1:9" ht="93.6" x14ac:dyDescent="0.35">
      <c r="A758" s="23" t="s">
        <v>1800</v>
      </c>
      <c r="B758" s="308" t="s">
        <v>1843</v>
      </c>
      <c r="C758" s="275" t="s">
        <v>1932</v>
      </c>
      <c r="D758" s="348">
        <v>299999.99</v>
      </c>
      <c r="E758" s="23" t="s">
        <v>14</v>
      </c>
      <c r="F758" s="23" t="s">
        <v>1933</v>
      </c>
      <c r="G758" s="23" t="s">
        <v>77</v>
      </c>
      <c r="H758" s="23" t="s">
        <v>72</v>
      </c>
      <c r="I758" s="23" t="s">
        <v>14</v>
      </c>
    </row>
    <row r="759" spans="1:9" ht="46.8" x14ac:dyDescent="0.35">
      <c r="A759" s="23" t="s">
        <v>1800</v>
      </c>
      <c r="B759" s="308" t="s">
        <v>1349</v>
      </c>
      <c r="C759" s="275" t="s">
        <v>1934</v>
      </c>
      <c r="D759" s="348">
        <v>299990</v>
      </c>
      <c r="E759" s="23" t="s">
        <v>14</v>
      </c>
      <c r="F759" s="23" t="s">
        <v>1935</v>
      </c>
      <c r="G759" s="23" t="s">
        <v>77</v>
      </c>
      <c r="H759" s="23" t="s">
        <v>72</v>
      </c>
      <c r="I759" s="23" t="s">
        <v>14</v>
      </c>
    </row>
    <row r="760" spans="1:9" ht="171.6" x14ac:dyDescent="0.35">
      <c r="A760" s="23" t="s">
        <v>1800</v>
      </c>
      <c r="B760" s="23" t="s">
        <v>859</v>
      </c>
      <c r="C760" s="275" t="s">
        <v>1936</v>
      </c>
      <c r="D760" s="295">
        <v>299990</v>
      </c>
      <c r="E760" s="23" t="s">
        <v>14</v>
      </c>
      <c r="F760" s="23" t="s">
        <v>1912</v>
      </c>
      <c r="G760" s="23" t="s">
        <v>77</v>
      </c>
      <c r="H760" s="23" t="s">
        <v>72</v>
      </c>
      <c r="I760" s="23" t="s">
        <v>14</v>
      </c>
    </row>
    <row r="761" spans="1:9" ht="62.4" x14ac:dyDescent="0.35">
      <c r="A761" s="187" t="s">
        <v>1791</v>
      </c>
      <c r="B761" s="23" t="s">
        <v>1349</v>
      </c>
      <c r="C761" s="258" t="s">
        <v>1937</v>
      </c>
      <c r="D761" s="295">
        <v>778000</v>
      </c>
      <c r="E761" s="23" t="s">
        <v>14</v>
      </c>
      <c r="F761" s="23" t="s">
        <v>1938</v>
      </c>
      <c r="G761" s="23" t="s">
        <v>77</v>
      </c>
      <c r="H761" s="23" t="s">
        <v>14</v>
      </c>
      <c r="I761" s="23" t="s">
        <v>14</v>
      </c>
    </row>
    <row r="762" spans="1:9" ht="62.4" x14ac:dyDescent="0.35">
      <c r="A762" s="187" t="s">
        <v>1791</v>
      </c>
      <c r="B762" s="23" t="s">
        <v>1349</v>
      </c>
      <c r="C762" s="275" t="s">
        <v>1939</v>
      </c>
      <c r="D762" s="295">
        <v>559000</v>
      </c>
      <c r="E762" s="23" t="s">
        <v>14</v>
      </c>
      <c r="F762" s="23" t="s">
        <v>1940</v>
      </c>
      <c r="G762" s="23" t="s">
        <v>77</v>
      </c>
      <c r="H762" s="23" t="s">
        <v>14</v>
      </c>
      <c r="I762" s="23" t="s">
        <v>14</v>
      </c>
    </row>
    <row r="763" spans="1:9" ht="62.4" x14ac:dyDescent="0.35">
      <c r="A763" s="187" t="s">
        <v>1791</v>
      </c>
      <c r="B763" s="23" t="s">
        <v>1349</v>
      </c>
      <c r="C763" s="275" t="s">
        <v>1941</v>
      </c>
      <c r="D763" s="295">
        <v>327000</v>
      </c>
      <c r="E763" s="23" t="s">
        <v>14</v>
      </c>
      <c r="F763" s="23">
        <v>34144511</v>
      </c>
      <c r="G763" s="23" t="s">
        <v>77</v>
      </c>
      <c r="H763" s="23" t="s">
        <v>14</v>
      </c>
      <c r="I763" s="23" t="s">
        <v>14</v>
      </c>
    </row>
    <row r="764" spans="1:9" ht="62.4" x14ac:dyDescent="0.35">
      <c r="A764" s="187" t="s">
        <v>1791</v>
      </c>
      <c r="B764" s="23" t="s">
        <v>1349</v>
      </c>
      <c r="C764" s="275" t="s">
        <v>1942</v>
      </c>
      <c r="D764" s="295">
        <v>258000</v>
      </c>
      <c r="E764" s="23" t="s">
        <v>14</v>
      </c>
      <c r="F764" s="23">
        <v>34144511</v>
      </c>
      <c r="G764" s="23" t="s">
        <v>77</v>
      </c>
      <c r="H764" s="23" t="s">
        <v>14</v>
      </c>
      <c r="I764" s="23" t="s">
        <v>14</v>
      </c>
    </row>
    <row r="765" spans="1:9" ht="62.4" x14ac:dyDescent="0.35">
      <c r="A765" s="187" t="s">
        <v>1791</v>
      </c>
      <c r="B765" s="23" t="s">
        <v>1349</v>
      </c>
      <c r="C765" s="275" t="s">
        <v>1943</v>
      </c>
      <c r="D765" s="295">
        <v>868000</v>
      </c>
      <c r="E765" s="23" t="s">
        <v>14</v>
      </c>
      <c r="F765" s="23">
        <v>34144511</v>
      </c>
      <c r="G765" s="23" t="s">
        <v>77</v>
      </c>
      <c r="H765" s="23" t="s">
        <v>14</v>
      </c>
      <c r="I765" s="23" t="s">
        <v>14</v>
      </c>
    </row>
    <row r="766" spans="1:9" ht="62.4" x14ac:dyDescent="0.35">
      <c r="A766" s="187" t="s">
        <v>1791</v>
      </c>
      <c r="B766" s="23" t="s">
        <v>1349</v>
      </c>
      <c r="C766" s="374" t="s">
        <v>1944</v>
      </c>
      <c r="D766" s="295">
        <v>675000</v>
      </c>
      <c r="E766" s="23" t="s">
        <v>14</v>
      </c>
      <c r="F766" s="23" t="s">
        <v>1945</v>
      </c>
      <c r="G766" s="23" t="s">
        <v>77</v>
      </c>
      <c r="H766" s="23" t="s">
        <v>14</v>
      </c>
      <c r="I766" s="23" t="s">
        <v>14</v>
      </c>
    </row>
    <row r="767" spans="1:9" ht="62.4" x14ac:dyDescent="0.35">
      <c r="A767" s="187" t="s">
        <v>1791</v>
      </c>
      <c r="B767" s="367" t="s">
        <v>859</v>
      </c>
      <c r="C767" s="375" t="s">
        <v>1946</v>
      </c>
      <c r="D767" s="348">
        <v>2250000</v>
      </c>
      <c r="E767" s="23" t="s">
        <v>14</v>
      </c>
      <c r="F767" s="26" t="s">
        <v>1947</v>
      </c>
      <c r="G767" s="26" t="s">
        <v>1948</v>
      </c>
      <c r="H767" s="23" t="s">
        <v>103</v>
      </c>
      <c r="I767" s="23" t="s">
        <v>14</v>
      </c>
    </row>
    <row r="768" spans="1:9" ht="78" x14ac:dyDescent="0.35">
      <c r="A768" s="23" t="s">
        <v>1800</v>
      </c>
      <c r="B768" s="308" t="s">
        <v>13</v>
      </c>
      <c r="C768" s="375" t="s">
        <v>1949</v>
      </c>
      <c r="D768" s="348">
        <v>140000</v>
      </c>
      <c r="E768" s="23" t="s">
        <v>14</v>
      </c>
      <c r="F768" s="23">
        <v>34928480</v>
      </c>
      <c r="G768" s="26" t="s">
        <v>270</v>
      </c>
      <c r="H768" s="23" t="s">
        <v>103</v>
      </c>
      <c r="I768" s="23" t="s">
        <v>14</v>
      </c>
    </row>
    <row r="769" spans="1:9" ht="62.4" x14ac:dyDescent="0.35">
      <c r="A769" s="23" t="s">
        <v>1789</v>
      </c>
      <c r="B769" s="367" t="s">
        <v>859</v>
      </c>
      <c r="C769" s="375" t="s">
        <v>1950</v>
      </c>
      <c r="D769" s="348">
        <v>20000</v>
      </c>
      <c r="E769" s="23" t="s">
        <v>14</v>
      </c>
      <c r="F769" s="26" t="s">
        <v>1951</v>
      </c>
      <c r="G769" s="26" t="s">
        <v>270</v>
      </c>
      <c r="H769" s="23" t="s">
        <v>103</v>
      </c>
      <c r="I769" s="23" t="s">
        <v>14</v>
      </c>
    </row>
    <row r="770" spans="1:9" ht="93.6" customHeight="1" x14ac:dyDescent="0.35">
      <c r="A770" s="187" t="s">
        <v>1791</v>
      </c>
      <c r="B770" s="308" t="s">
        <v>13</v>
      </c>
      <c r="C770" s="375" t="s">
        <v>1952</v>
      </c>
      <c r="D770" s="348">
        <v>480000</v>
      </c>
      <c r="E770" s="23" t="s">
        <v>14</v>
      </c>
      <c r="F770" s="26" t="s">
        <v>1953</v>
      </c>
      <c r="G770" s="328" t="s">
        <v>77</v>
      </c>
      <c r="H770" s="23" t="s">
        <v>14</v>
      </c>
      <c r="I770" s="23" t="s">
        <v>14</v>
      </c>
    </row>
    <row r="771" spans="1:9" ht="46.8" x14ac:dyDescent="0.35">
      <c r="A771" s="23" t="s">
        <v>1800</v>
      </c>
      <c r="B771" s="23" t="s">
        <v>1843</v>
      </c>
      <c r="C771" s="278" t="s">
        <v>1954</v>
      </c>
      <c r="D771" s="295">
        <v>165000</v>
      </c>
      <c r="E771" s="23" t="s">
        <v>14</v>
      </c>
      <c r="F771" s="26" t="s">
        <v>1955</v>
      </c>
      <c r="G771" s="26" t="s">
        <v>91</v>
      </c>
      <c r="H771" s="23" t="s">
        <v>14</v>
      </c>
      <c r="I771" s="23" t="s">
        <v>14</v>
      </c>
    </row>
    <row r="772" spans="1:9" ht="62.4" x14ac:dyDescent="0.35">
      <c r="A772" s="187" t="s">
        <v>1791</v>
      </c>
      <c r="B772" s="23" t="s">
        <v>13</v>
      </c>
      <c r="C772" s="275" t="s">
        <v>1956</v>
      </c>
      <c r="D772" s="295">
        <v>1000000</v>
      </c>
      <c r="E772" s="23" t="s">
        <v>14</v>
      </c>
      <c r="F772" s="26" t="s">
        <v>1957</v>
      </c>
      <c r="G772" s="328" t="s">
        <v>77</v>
      </c>
      <c r="H772" s="23" t="s">
        <v>14</v>
      </c>
      <c r="I772" s="23" t="s">
        <v>14</v>
      </c>
    </row>
    <row r="773" spans="1:9" ht="46.8" x14ac:dyDescent="0.35">
      <c r="A773" s="149" t="s">
        <v>1789</v>
      </c>
      <c r="B773" s="149" t="s">
        <v>13</v>
      </c>
      <c r="C773" s="334" t="s">
        <v>1958</v>
      </c>
      <c r="D773" s="325">
        <v>55000</v>
      </c>
      <c r="E773" s="149" t="s">
        <v>14</v>
      </c>
      <c r="F773" s="149" t="s">
        <v>1959</v>
      </c>
      <c r="G773" s="328" t="s">
        <v>77</v>
      </c>
      <c r="H773" s="149" t="s">
        <v>14</v>
      </c>
      <c r="I773" s="149" t="s">
        <v>14</v>
      </c>
    </row>
    <row r="774" spans="1:9" ht="46.8" x14ac:dyDescent="0.35">
      <c r="A774" s="149" t="s">
        <v>1800</v>
      </c>
      <c r="B774" s="187" t="s">
        <v>859</v>
      </c>
      <c r="C774" s="334" t="s">
        <v>1960</v>
      </c>
      <c r="D774" s="325">
        <v>234000</v>
      </c>
      <c r="E774" s="149" t="s">
        <v>14</v>
      </c>
      <c r="F774" s="149">
        <v>72313000</v>
      </c>
      <c r="G774" s="328" t="s">
        <v>77</v>
      </c>
      <c r="H774" s="149" t="s">
        <v>14</v>
      </c>
      <c r="I774" s="149" t="s">
        <v>14</v>
      </c>
    </row>
    <row r="775" spans="1:9" ht="46.8" x14ac:dyDescent="0.35">
      <c r="A775" s="149" t="s">
        <v>1800</v>
      </c>
      <c r="B775" s="149" t="s">
        <v>13</v>
      </c>
      <c r="C775" s="334" t="s">
        <v>1961</v>
      </c>
      <c r="D775" s="325">
        <v>175000</v>
      </c>
      <c r="E775" s="149" t="s">
        <v>72</v>
      </c>
      <c r="F775" s="149" t="s">
        <v>1962</v>
      </c>
      <c r="G775" s="328" t="s">
        <v>77</v>
      </c>
      <c r="H775" s="149" t="s">
        <v>72</v>
      </c>
      <c r="I775" s="149" t="s">
        <v>14</v>
      </c>
    </row>
    <row r="776" spans="1:9" ht="78" x14ac:dyDescent="0.35">
      <c r="A776" s="149" t="s">
        <v>1789</v>
      </c>
      <c r="B776" s="23" t="s">
        <v>1843</v>
      </c>
      <c r="C776" s="255" t="s">
        <v>1963</v>
      </c>
      <c r="D776" s="325">
        <v>30000</v>
      </c>
      <c r="E776" s="149" t="s">
        <v>72</v>
      </c>
      <c r="F776" s="365" t="s">
        <v>1964</v>
      </c>
      <c r="G776" s="328" t="s">
        <v>77</v>
      </c>
      <c r="H776" s="149" t="s">
        <v>72</v>
      </c>
      <c r="I776" s="149" t="s">
        <v>14</v>
      </c>
    </row>
    <row r="777" spans="1:9" ht="46.8" x14ac:dyDescent="0.35">
      <c r="A777" s="149" t="s">
        <v>1789</v>
      </c>
      <c r="B777" s="149" t="s">
        <v>13</v>
      </c>
      <c r="C777" s="334" t="s">
        <v>1965</v>
      </c>
      <c r="D777" s="325">
        <v>37800</v>
      </c>
      <c r="E777" s="149" t="s">
        <v>14</v>
      </c>
      <c r="F777" s="149" t="s">
        <v>1966</v>
      </c>
      <c r="G777" s="328" t="s">
        <v>77</v>
      </c>
      <c r="H777" s="149" t="s">
        <v>14</v>
      </c>
      <c r="I777" s="149" t="s">
        <v>14</v>
      </c>
    </row>
    <row r="778" spans="1:9" ht="46.8" x14ac:dyDescent="0.35">
      <c r="A778" s="149" t="s">
        <v>1789</v>
      </c>
      <c r="B778" s="149" t="s">
        <v>13</v>
      </c>
      <c r="C778" s="376" t="s">
        <v>1967</v>
      </c>
      <c r="D778" s="325">
        <v>10000</v>
      </c>
      <c r="E778" s="149" t="s">
        <v>14</v>
      </c>
      <c r="F778" s="149" t="s">
        <v>1968</v>
      </c>
      <c r="G778" s="328" t="s">
        <v>77</v>
      </c>
      <c r="H778" s="149" t="s">
        <v>14</v>
      </c>
      <c r="I778" s="149" t="s">
        <v>14</v>
      </c>
    </row>
    <row r="779" spans="1:9" ht="62.4" x14ac:dyDescent="0.35">
      <c r="A779" s="149" t="s">
        <v>1789</v>
      </c>
      <c r="B779" s="367" t="s">
        <v>859</v>
      </c>
      <c r="C779" s="377" t="s">
        <v>1969</v>
      </c>
      <c r="D779" s="332">
        <v>99000</v>
      </c>
      <c r="E779" s="149" t="s">
        <v>14</v>
      </c>
      <c r="F779" s="152" t="s">
        <v>1970</v>
      </c>
      <c r="G779" s="149" t="s">
        <v>77</v>
      </c>
      <c r="H779" s="149" t="s">
        <v>14</v>
      </c>
      <c r="I779" s="149" t="s">
        <v>14</v>
      </c>
    </row>
    <row r="780" spans="1:9" ht="62.4" x14ac:dyDescent="0.35">
      <c r="A780" s="149" t="s">
        <v>1789</v>
      </c>
      <c r="B780" s="330" t="s">
        <v>13</v>
      </c>
      <c r="C780" s="377" t="s">
        <v>1969</v>
      </c>
      <c r="D780" s="332">
        <v>99000</v>
      </c>
      <c r="E780" s="149" t="s">
        <v>14</v>
      </c>
      <c r="F780" s="149" t="s">
        <v>1968</v>
      </c>
      <c r="G780" s="328" t="s">
        <v>77</v>
      </c>
      <c r="H780" s="149" t="s">
        <v>72</v>
      </c>
      <c r="I780" s="149" t="s">
        <v>14</v>
      </c>
    </row>
    <row r="781" spans="1:9" ht="46.8" x14ac:dyDescent="0.35">
      <c r="A781" s="23" t="s">
        <v>1789</v>
      </c>
      <c r="B781" s="187" t="s">
        <v>859</v>
      </c>
      <c r="C781" s="278" t="s">
        <v>1971</v>
      </c>
      <c r="D781" s="295">
        <v>85000</v>
      </c>
      <c r="E781" s="23" t="s">
        <v>14</v>
      </c>
      <c r="F781" s="26" t="s">
        <v>1972</v>
      </c>
      <c r="G781" s="23" t="s">
        <v>77</v>
      </c>
      <c r="H781" s="23" t="s">
        <v>72</v>
      </c>
      <c r="I781" s="23" t="s">
        <v>14</v>
      </c>
    </row>
    <row r="782" spans="1:9" ht="62.4" x14ac:dyDescent="0.35">
      <c r="A782" s="23" t="s">
        <v>1789</v>
      </c>
      <c r="B782" s="187" t="s">
        <v>859</v>
      </c>
      <c r="C782" s="275" t="s">
        <v>1973</v>
      </c>
      <c r="D782" s="295">
        <f>4*6000</f>
        <v>24000</v>
      </c>
      <c r="E782" s="23" t="s">
        <v>14</v>
      </c>
      <c r="F782" s="23">
        <v>90700000</v>
      </c>
      <c r="G782" s="23" t="s">
        <v>77</v>
      </c>
      <c r="H782" s="23" t="s">
        <v>72</v>
      </c>
      <c r="I782" s="23" t="s">
        <v>14</v>
      </c>
    </row>
    <row r="783" spans="1:9" ht="62.4" x14ac:dyDescent="0.35">
      <c r="A783" s="23" t="s">
        <v>1789</v>
      </c>
      <c r="B783" s="23" t="s">
        <v>1843</v>
      </c>
      <c r="C783" s="275" t="s">
        <v>1974</v>
      </c>
      <c r="D783" s="295">
        <v>50000</v>
      </c>
      <c r="E783" s="23" t="s">
        <v>14</v>
      </c>
      <c r="F783" s="23" t="s">
        <v>1975</v>
      </c>
      <c r="G783" s="23" t="s">
        <v>77</v>
      </c>
      <c r="H783" s="23" t="s">
        <v>72</v>
      </c>
      <c r="I783" s="23" t="s">
        <v>14</v>
      </c>
    </row>
    <row r="784" spans="1:9" ht="62.4" x14ac:dyDescent="0.35">
      <c r="A784" s="187" t="s">
        <v>1791</v>
      </c>
      <c r="B784" s="187" t="s">
        <v>859</v>
      </c>
      <c r="C784" s="275" t="s">
        <v>1976</v>
      </c>
      <c r="D784" s="295">
        <f>350000*4</f>
        <v>1400000</v>
      </c>
      <c r="E784" s="23" t="s">
        <v>14</v>
      </c>
      <c r="F784" s="23" t="s">
        <v>1977</v>
      </c>
      <c r="G784" s="23" t="s">
        <v>77</v>
      </c>
      <c r="H784" s="23" t="s">
        <v>72</v>
      </c>
      <c r="I784" s="23" t="s">
        <v>14</v>
      </c>
    </row>
    <row r="785" spans="1:9" ht="78" x14ac:dyDescent="0.35">
      <c r="A785" s="23" t="s">
        <v>1789</v>
      </c>
      <c r="B785" s="187" t="s">
        <v>859</v>
      </c>
      <c r="C785" s="275" t="s">
        <v>1978</v>
      </c>
      <c r="D785" s="295">
        <v>90000</v>
      </c>
      <c r="E785" s="23" t="s">
        <v>14</v>
      </c>
      <c r="F785" s="23" t="s">
        <v>1979</v>
      </c>
      <c r="G785" s="23" t="s">
        <v>77</v>
      </c>
      <c r="H785" s="23" t="s">
        <v>72</v>
      </c>
      <c r="I785" s="23" t="s">
        <v>14</v>
      </c>
    </row>
    <row r="786" spans="1:9" ht="46.8" x14ac:dyDescent="0.35">
      <c r="A786" s="23" t="s">
        <v>1789</v>
      </c>
      <c r="B786" s="23" t="s">
        <v>13</v>
      </c>
      <c r="C786" s="275" t="s">
        <v>1980</v>
      </c>
      <c r="D786" s="295">
        <f>13000*4</f>
        <v>52000</v>
      </c>
      <c r="E786" s="23" t="s">
        <v>14</v>
      </c>
      <c r="F786" s="23">
        <v>39130000</v>
      </c>
      <c r="G786" s="23" t="s">
        <v>1948</v>
      </c>
      <c r="H786" s="187" t="s">
        <v>14</v>
      </c>
      <c r="I786" s="23" t="s">
        <v>14</v>
      </c>
    </row>
    <row r="787" spans="1:9" ht="62.4" x14ac:dyDescent="0.35">
      <c r="A787" s="23" t="s">
        <v>1789</v>
      </c>
      <c r="B787" s="23" t="s">
        <v>13</v>
      </c>
      <c r="C787" s="275" t="s">
        <v>1981</v>
      </c>
      <c r="D787" s="295">
        <v>59950</v>
      </c>
      <c r="E787" s="23" t="s">
        <v>14</v>
      </c>
      <c r="F787" s="23" t="s">
        <v>796</v>
      </c>
      <c r="G787" s="23" t="s">
        <v>77</v>
      </c>
      <c r="H787" s="23" t="s">
        <v>72</v>
      </c>
      <c r="I787" s="23" t="s">
        <v>14</v>
      </c>
    </row>
    <row r="788" spans="1:9" ht="109.2" x14ac:dyDescent="0.35">
      <c r="A788" s="23" t="s">
        <v>1789</v>
      </c>
      <c r="B788" s="187" t="s">
        <v>859</v>
      </c>
      <c r="C788" s="275" t="s">
        <v>1982</v>
      </c>
      <c r="D788" s="295">
        <v>40000</v>
      </c>
      <c r="E788" s="23" t="s">
        <v>14</v>
      </c>
      <c r="F788" s="23" t="s">
        <v>1486</v>
      </c>
      <c r="G788" s="23" t="s">
        <v>57</v>
      </c>
      <c r="H788" s="187" t="s">
        <v>14</v>
      </c>
      <c r="I788" s="23" t="s">
        <v>14</v>
      </c>
    </row>
    <row r="789" spans="1:9" ht="46.8" x14ac:dyDescent="0.35">
      <c r="A789" s="23" t="s">
        <v>1789</v>
      </c>
      <c r="B789" s="23" t="s">
        <v>13</v>
      </c>
      <c r="C789" s="275" t="s">
        <v>1983</v>
      </c>
      <c r="D789" s="295">
        <f>11000*2</f>
        <v>22000</v>
      </c>
      <c r="E789" s="23" t="s">
        <v>14</v>
      </c>
      <c r="F789" s="23">
        <v>4410000</v>
      </c>
      <c r="G789" s="23" t="s">
        <v>270</v>
      </c>
      <c r="H789" s="187" t="s">
        <v>14</v>
      </c>
      <c r="I789" s="23" t="s">
        <v>14</v>
      </c>
    </row>
    <row r="790" spans="1:9" ht="78" x14ac:dyDescent="0.35">
      <c r="A790" s="187" t="s">
        <v>1800</v>
      </c>
      <c r="B790" s="23" t="s">
        <v>1792</v>
      </c>
      <c r="C790" s="275" t="s">
        <v>1984</v>
      </c>
      <c r="D790" s="295">
        <v>255000</v>
      </c>
      <c r="E790" s="23" t="s">
        <v>14</v>
      </c>
      <c r="F790" s="23" t="s">
        <v>1985</v>
      </c>
      <c r="G790" s="23" t="s">
        <v>77</v>
      </c>
      <c r="H790" s="187" t="s">
        <v>14</v>
      </c>
      <c r="I790" s="23" t="s">
        <v>14</v>
      </c>
    </row>
    <row r="791" spans="1:9" ht="46.8" x14ac:dyDescent="0.35">
      <c r="A791" s="23" t="s">
        <v>1789</v>
      </c>
      <c r="B791" s="23" t="s">
        <v>13</v>
      </c>
      <c r="C791" s="275" t="s">
        <v>1986</v>
      </c>
      <c r="D791" s="295">
        <v>59950</v>
      </c>
      <c r="E791" s="23" t="s">
        <v>14</v>
      </c>
      <c r="F791" s="23" t="s">
        <v>1987</v>
      </c>
      <c r="G791" s="23" t="s">
        <v>100</v>
      </c>
      <c r="H791" s="187" t="s">
        <v>14</v>
      </c>
      <c r="I791" s="23" t="s">
        <v>14</v>
      </c>
    </row>
    <row r="792" spans="1:9" ht="46.8" x14ac:dyDescent="0.35">
      <c r="A792" s="23" t="s">
        <v>1789</v>
      </c>
      <c r="B792" s="110" t="s">
        <v>13</v>
      </c>
      <c r="C792" s="374" t="s">
        <v>1988</v>
      </c>
      <c r="D792" s="295">
        <v>59950</v>
      </c>
      <c r="E792" s="23" t="s">
        <v>14</v>
      </c>
      <c r="F792" s="33" t="s">
        <v>1989</v>
      </c>
      <c r="G792" s="23" t="s">
        <v>270</v>
      </c>
      <c r="H792" s="187" t="s">
        <v>14</v>
      </c>
      <c r="I792" s="23" t="s">
        <v>14</v>
      </c>
    </row>
    <row r="793" spans="1:9" ht="46.8" x14ac:dyDescent="0.35">
      <c r="A793" s="23" t="s">
        <v>1789</v>
      </c>
      <c r="B793" s="23" t="s">
        <v>13</v>
      </c>
      <c r="C793" s="275" t="s">
        <v>1990</v>
      </c>
      <c r="D793" s="295">
        <v>40000</v>
      </c>
      <c r="E793" s="23" t="s">
        <v>14</v>
      </c>
      <c r="F793" s="23">
        <v>32234000</v>
      </c>
      <c r="G793" s="23" t="s">
        <v>91</v>
      </c>
      <c r="H793" s="187" t="s">
        <v>14</v>
      </c>
      <c r="I793" s="23" t="s">
        <v>14</v>
      </c>
    </row>
    <row r="794" spans="1:9" ht="62.4" x14ac:dyDescent="0.35">
      <c r="A794" s="187" t="s">
        <v>1791</v>
      </c>
      <c r="B794" s="23" t="s">
        <v>13</v>
      </c>
      <c r="C794" s="275" t="s">
        <v>1991</v>
      </c>
      <c r="D794" s="295">
        <v>3972172</v>
      </c>
      <c r="E794" s="23" t="s">
        <v>14</v>
      </c>
      <c r="F794" s="26" t="s">
        <v>1459</v>
      </c>
      <c r="G794" s="23" t="s">
        <v>1948</v>
      </c>
      <c r="H794" s="187" t="s">
        <v>14</v>
      </c>
      <c r="I794" s="23" t="s">
        <v>14</v>
      </c>
    </row>
    <row r="795" spans="1:9" ht="46.8" x14ac:dyDescent="0.35">
      <c r="A795" s="187" t="s">
        <v>1800</v>
      </c>
      <c r="B795" s="187" t="s">
        <v>859</v>
      </c>
      <c r="C795" s="275" t="s">
        <v>1992</v>
      </c>
      <c r="D795" s="295">
        <v>200000</v>
      </c>
      <c r="E795" s="23" t="s">
        <v>14</v>
      </c>
      <c r="F795" s="26" t="s">
        <v>1989</v>
      </c>
      <c r="G795" s="23" t="s">
        <v>77</v>
      </c>
      <c r="H795" s="187" t="s">
        <v>14</v>
      </c>
      <c r="I795" s="23" t="s">
        <v>14</v>
      </c>
    </row>
    <row r="796" spans="1:9" ht="93.6" x14ac:dyDescent="0.35">
      <c r="A796" s="187" t="s">
        <v>1791</v>
      </c>
      <c r="B796" s="187" t="s">
        <v>859</v>
      </c>
      <c r="C796" s="275" t="s">
        <v>1993</v>
      </c>
      <c r="D796" s="296">
        <v>750000</v>
      </c>
      <c r="E796" s="23" t="s">
        <v>14</v>
      </c>
      <c r="F796" s="23" t="s">
        <v>1994</v>
      </c>
      <c r="G796" s="23" t="s">
        <v>1948</v>
      </c>
      <c r="H796" s="23" t="s">
        <v>72</v>
      </c>
      <c r="I796" s="23" t="s">
        <v>14</v>
      </c>
    </row>
    <row r="797" spans="1:9" ht="62.4" x14ac:dyDescent="0.35">
      <c r="A797" s="187" t="s">
        <v>1791</v>
      </c>
      <c r="B797" s="187" t="s">
        <v>859</v>
      </c>
      <c r="C797" s="275" t="s">
        <v>1995</v>
      </c>
      <c r="D797" s="295">
        <v>600000</v>
      </c>
      <c r="E797" s="23" t="s">
        <v>14</v>
      </c>
      <c r="F797" s="26" t="s">
        <v>883</v>
      </c>
      <c r="G797" s="26" t="s">
        <v>77</v>
      </c>
      <c r="H797" s="23" t="s">
        <v>72</v>
      </c>
      <c r="I797" s="23" t="s">
        <v>14</v>
      </c>
    </row>
    <row r="798" spans="1:9" ht="46.8" x14ac:dyDescent="0.35">
      <c r="A798" s="23" t="s">
        <v>1789</v>
      </c>
      <c r="B798" s="187" t="s">
        <v>859</v>
      </c>
      <c r="C798" s="275" t="s">
        <v>1996</v>
      </c>
      <c r="D798" s="295">
        <v>70000</v>
      </c>
      <c r="E798" s="23" t="s">
        <v>14</v>
      </c>
      <c r="F798" s="26" t="s">
        <v>1997</v>
      </c>
      <c r="G798" s="26" t="s">
        <v>77</v>
      </c>
      <c r="H798" s="23" t="s">
        <v>72</v>
      </c>
      <c r="I798" s="23" t="s">
        <v>14</v>
      </c>
    </row>
    <row r="799" spans="1:9" ht="46.8" x14ac:dyDescent="0.35">
      <c r="A799" s="23" t="s">
        <v>1789</v>
      </c>
      <c r="B799" s="187" t="s">
        <v>859</v>
      </c>
      <c r="C799" s="275" t="s">
        <v>1998</v>
      </c>
      <c r="D799" s="295">
        <v>84000</v>
      </c>
      <c r="E799" s="23" t="s">
        <v>14</v>
      </c>
      <c r="F799" s="23" t="s">
        <v>1999</v>
      </c>
      <c r="G799" s="23" t="s">
        <v>77</v>
      </c>
      <c r="H799" s="23" t="s">
        <v>72</v>
      </c>
      <c r="I799" s="23" t="s">
        <v>14</v>
      </c>
    </row>
    <row r="800" spans="1:9" ht="46.8" x14ac:dyDescent="0.35">
      <c r="A800" s="23" t="s">
        <v>1789</v>
      </c>
      <c r="B800" s="187" t="s">
        <v>859</v>
      </c>
      <c r="C800" s="275" t="s">
        <v>2000</v>
      </c>
      <c r="D800" s="295">
        <v>60000</v>
      </c>
      <c r="E800" s="23" t="s">
        <v>72</v>
      </c>
      <c r="F800" s="57" t="s">
        <v>2001</v>
      </c>
      <c r="G800" s="378" t="s">
        <v>77</v>
      </c>
      <c r="H800" s="23" t="s">
        <v>72</v>
      </c>
      <c r="I800" s="23" t="s">
        <v>14</v>
      </c>
    </row>
    <row r="801" spans="1:9" ht="46.8" x14ac:dyDescent="0.35">
      <c r="A801" s="23" t="s">
        <v>1789</v>
      </c>
      <c r="B801" s="187" t="s">
        <v>859</v>
      </c>
      <c r="C801" s="275" t="s">
        <v>2002</v>
      </c>
      <c r="D801" s="296">
        <v>30000</v>
      </c>
      <c r="E801" s="23" t="s">
        <v>14</v>
      </c>
      <c r="F801" s="86" t="s">
        <v>2003</v>
      </c>
      <c r="G801" s="378" t="s">
        <v>77</v>
      </c>
      <c r="H801" s="23" t="s">
        <v>72</v>
      </c>
      <c r="I801" s="23" t="s">
        <v>14</v>
      </c>
    </row>
    <row r="802" spans="1:9" ht="46.8" x14ac:dyDescent="0.35">
      <c r="A802" s="23" t="s">
        <v>1800</v>
      </c>
      <c r="B802" s="23" t="s">
        <v>13</v>
      </c>
      <c r="C802" s="275" t="s">
        <v>2004</v>
      </c>
      <c r="D802" s="296">
        <v>162638.39825232726</v>
      </c>
      <c r="E802" s="23" t="s">
        <v>14</v>
      </c>
      <c r="F802" s="57" t="s">
        <v>2005</v>
      </c>
      <c r="G802" s="378" t="s">
        <v>46</v>
      </c>
      <c r="H802" s="23" t="s">
        <v>14</v>
      </c>
      <c r="I802" s="23" t="s">
        <v>14</v>
      </c>
    </row>
    <row r="803" spans="1:9" ht="46.8" x14ac:dyDescent="0.35">
      <c r="A803" s="23" t="s">
        <v>1789</v>
      </c>
      <c r="B803" s="23" t="s">
        <v>2006</v>
      </c>
      <c r="C803" s="293" t="s">
        <v>2007</v>
      </c>
      <c r="D803" s="295">
        <v>80000</v>
      </c>
      <c r="E803" s="23" t="s">
        <v>14</v>
      </c>
      <c r="F803" s="23" t="s">
        <v>2008</v>
      </c>
      <c r="G803" s="26" t="s">
        <v>1004</v>
      </c>
      <c r="H803" s="23" t="s">
        <v>14</v>
      </c>
      <c r="I803" s="23" t="s">
        <v>14</v>
      </c>
    </row>
    <row r="804" spans="1:9" ht="78" x14ac:dyDescent="0.35">
      <c r="A804" s="23" t="s">
        <v>1789</v>
      </c>
      <c r="B804" s="23" t="s">
        <v>1843</v>
      </c>
      <c r="C804" s="293" t="s">
        <v>2009</v>
      </c>
      <c r="D804" s="295">
        <v>20000</v>
      </c>
      <c r="E804" s="23" t="s">
        <v>14</v>
      </c>
      <c r="F804" s="370">
        <v>79132100</v>
      </c>
      <c r="G804" s="26" t="s">
        <v>1004</v>
      </c>
      <c r="H804" s="23" t="s">
        <v>14</v>
      </c>
      <c r="I804" s="23" t="s">
        <v>14</v>
      </c>
    </row>
    <row r="805" spans="1:9" ht="78" x14ac:dyDescent="0.35">
      <c r="A805" s="23" t="s">
        <v>1800</v>
      </c>
      <c r="B805" s="23" t="s">
        <v>1843</v>
      </c>
      <c r="C805" s="293" t="s">
        <v>2010</v>
      </c>
      <c r="D805" s="295">
        <v>100000</v>
      </c>
      <c r="E805" s="23" t="s">
        <v>14</v>
      </c>
      <c r="F805" s="23" t="s">
        <v>2011</v>
      </c>
      <c r="G805" s="23" t="s">
        <v>270</v>
      </c>
      <c r="H805" s="23" t="s">
        <v>72</v>
      </c>
      <c r="I805" s="23" t="s">
        <v>14</v>
      </c>
    </row>
    <row r="806" spans="1:9" ht="93.6" x14ac:dyDescent="0.35">
      <c r="A806" s="23" t="s">
        <v>1800</v>
      </c>
      <c r="B806" s="23" t="s">
        <v>13</v>
      </c>
      <c r="C806" s="275" t="s">
        <v>2012</v>
      </c>
      <c r="D806" s="295">
        <v>150000</v>
      </c>
      <c r="E806" s="23" t="s">
        <v>14</v>
      </c>
      <c r="F806" s="23" t="s">
        <v>2013</v>
      </c>
      <c r="G806" s="23" t="s">
        <v>77</v>
      </c>
      <c r="H806" s="23" t="s">
        <v>72</v>
      </c>
      <c r="I806" s="23" t="s">
        <v>14</v>
      </c>
    </row>
    <row r="807" spans="1:9" ht="62.4" x14ac:dyDescent="0.35">
      <c r="A807" s="23" t="s">
        <v>1800</v>
      </c>
      <c r="B807" s="23" t="s">
        <v>13</v>
      </c>
      <c r="C807" s="275" t="s">
        <v>2014</v>
      </c>
      <c r="D807" s="295">
        <v>120000</v>
      </c>
      <c r="E807" s="23" t="s">
        <v>14</v>
      </c>
      <c r="F807" s="23" t="s">
        <v>2015</v>
      </c>
      <c r="G807" s="23" t="s">
        <v>77</v>
      </c>
      <c r="H807" s="23" t="s">
        <v>72</v>
      </c>
      <c r="I807" s="23" t="s">
        <v>14</v>
      </c>
    </row>
    <row r="808" spans="1:9" ht="62.4" x14ac:dyDescent="0.35">
      <c r="A808" s="187" t="s">
        <v>1791</v>
      </c>
      <c r="B808" s="23" t="s">
        <v>13</v>
      </c>
      <c r="C808" s="275" t="s">
        <v>2016</v>
      </c>
      <c r="D808" s="295">
        <v>7500000</v>
      </c>
      <c r="E808" s="23" t="s">
        <v>14</v>
      </c>
      <c r="F808" s="23" t="s">
        <v>2017</v>
      </c>
      <c r="G808" s="23" t="s">
        <v>77</v>
      </c>
      <c r="H808" s="23" t="s">
        <v>72</v>
      </c>
      <c r="I808" s="23" t="s">
        <v>14</v>
      </c>
    </row>
    <row r="809" spans="1:9" ht="62.4" x14ac:dyDescent="0.35">
      <c r="A809" s="23" t="s">
        <v>1800</v>
      </c>
      <c r="B809" s="23" t="s">
        <v>859</v>
      </c>
      <c r="C809" s="275" t="s">
        <v>2018</v>
      </c>
      <c r="D809" s="295">
        <v>144000</v>
      </c>
      <c r="E809" s="23" t="s">
        <v>14</v>
      </c>
      <c r="F809" s="23" t="s">
        <v>2019</v>
      </c>
      <c r="G809" s="23" t="s">
        <v>270</v>
      </c>
      <c r="H809" s="23" t="s">
        <v>72</v>
      </c>
      <c r="I809" s="23" t="s">
        <v>14</v>
      </c>
    </row>
    <row r="810" spans="1:9" ht="46.8" x14ac:dyDescent="0.35">
      <c r="A810" s="23" t="s">
        <v>1800</v>
      </c>
      <c r="B810" s="23" t="s">
        <v>859</v>
      </c>
      <c r="C810" s="275" t="s">
        <v>2020</v>
      </c>
      <c r="D810" s="295">
        <v>120000</v>
      </c>
      <c r="E810" s="23" t="s">
        <v>14</v>
      </c>
      <c r="F810" s="23" t="s">
        <v>2021</v>
      </c>
      <c r="G810" s="23" t="s">
        <v>77</v>
      </c>
      <c r="H810" s="23" t="s">
        <v>72</v>
      </c>
      <c r="I810" s="23" t="s">
        <v>14</v>
      </c>
    </row>
  </sheetData>
  <mergeCells count="212">
    <mergeCell ref="H678:H679"/>
    <mergeCell ref="I678:I679"/>
    <mergeCell ref="H667:H668"/>
    <mergeCell ref="I667:I668"/>
    <mergeCell ref="A676:I676"/>
    <mergeCell ref="A678:A679"/>
    <mergeCell ref="B678:B679"/>
    <mergeCell ref="C678:C679"/>
    <mergeCell ref="D678:D679"/>
    <mergeCell ref="E678:E679"/>
    <mergeCell ref="F678:F679"/>
    <mergeCell ref="G678:G679"/>
    <mergeCell ref="H660:H661"/>
    <mergeCell ref="I660:I661"/>
    <mergeCell ref="A665:I665"/>
    <mergeCell ref="A667:A668"/>
    <mergeCell ref="B667:B668"/>
    <mergeCell ref="C667:C668"/>
    <mergeCell ref="D667:D668"/>
    <mergeCell ref="E667:E668"/>
    <mergeCell ref="F667:F668"/>
    <mergeCell ref="G667:G668"/>
    <mergeCell ref="H650:H651"/>
    <mergeCell ref="I650:I651"/>
    <mergeCell ref="A658:I658"/>
    <mergeCell ref="A660:A661"/>
    <mergeCell ref="B660:B661"/>
    <mergeCell ref="C660:C661"/>
    <mergeCell ref="D660:D661"/>
    <mergeCell ref="E660:E661"/>
    <mergeCell ref="F660:F661"/>
    <mergeCell ref="G660:G661"/>
    <mergeCell ref="H642:H643"/>
    <mergeCell ref="I642:I643"/>
    <mergeCell ref="A648:I648"/>
    <mergeCell ref="A650:A651"/>
    <mergeCell ref="B650:B651"/>
    <mergeCell ref="C650:C651"/>
    <mergeCell ref="D650:D651"/>
    <mergeCell ref="E650:E651"/>
    <mergeCell ref="F650:F651"/>
    <mergeCell ref="G650:G651"/>
    <mergeCell ref="A639:I639"/>
    <mergeCell ref="C640:I640"/>
    <mergeCell ref="C641:I641"/>
    <mergeCell ref="A642:A643"/>
    <mergeCell ref="B642:B643"/>
    <mergeCell ref="C642:C643"/>
    <mergeCell ref="D642:D643"/>
    <mergeCell ref="E642:E643"/>
    <mergeCell ref="F642:F643"/>
    <mergeCell ref="G642:G643"/>
    <mergeCell ref="A610:I610"/>
    <mergeCell ref="A612:A613"/>
    <mergeCell ref="B612:B613"/>
    <mergeCell ref="C612:C613"/>
    <mergeCell ref="D612:D613"/>
    <mergeCell ref="E612:E613"/>
    <mergeCell ref="F612:F613"/>
    <mergeCell ref="G612:G613"/>
    <mergeCell ref="H612:H613"/>
    <mergeCell ref="I612:I613"/>
    <mergeCell ref="A589:I589"/>
    <mergeCell ref="A591:A592"/>
    <mergeCell ref="B591:B592"/>
    <mergeCell ref="C591:C592"/>
    <mergeCell ref="D591:D592"/>
    <mergeCell ref="E591:E592"/>
    <mergeCell ref="F591:F592"/>
    <mergeCell ref="G591:G592"/>
    <mergeCell ref="H591:H592"/>
    <mergeCell ref="I591:I592"/>
    <mergeCell ref="A578:I578"/>
    <mergeCell ref="A580:A581"/>
    <mergeCell ref="B580:B581"/>
    <mergeCell ref="C580:C581"/>
    <mergeCell ref="D580:D581"/>
    <mergeCell ref="E580:E581"/>
    <mergeCell ref="F580:F581"/>
    <mergeCell ref="G580:G581"/>
    <mergeCell ref="H580:H581"/>
    <mergeCell ref="I580:I581"/>
    <mergeCell ref="A560:I560"/>
    <mergeCell ref="A562:A563"/>
    <mergeCell ref="B562:B563"/>
    <mergeCell ref="C562:C563"/>
    <mergeCell ref="D562:D563"/>
    <mergeCell ref="E562:E563"/>
    <mergeCell ref="F562:F563"/>
    <mergeCell ref="G562:G563"/>
    <mergeCell ref="H562:H563"/>
    <mergeCell ref="I562:I563"/>
    <mergeCell ref="A521:I521"/>
    <mergeCell ref="A523:A524"/>
    <mergeCell ref="B523:B524"/>
    <mergeCell ref="C523:C524"/>
    <mergeCell ref="D523:D524"/>
    <mergeCell ref="E523:E524"/>
    <mergeCell ref="F523:F524"/>
    <mergeCell ref="G523:G524"/>
    <mergeCell ref="H523:H524"/>
    <mergeCell ref="I523:I524"/>
    <mergeCell ref="A504:I504"/>
    <mergeCell ref="A506:A507"/>
    <mergeCell ref="B506:B507"/>
    <mergeCell ref="C506:C507"/>
    <mergeCell ref="D506:D507"/>
    <mergeCell ref="E506:E507"/>
    <mergeCell ref="F506:F507"/>
    <mergeCell ref="G506:G507"/>
    <mergeCell ref="H506:H507"/>
    <mergeCell ref="I506:I507"/>
    <mergeCell ref="A447:I447"/>
    <mergeCell ref="A449:A450"/>
    <mergeCell ref="B449:B450"/>
    <mergeCell ref="C449:C450"/>
    <mergeCell ref="D449:D450"/>
    <mergeCell ref="E449:E450"/>
    <mergeCell ref="F449:F450"/>
    <mergeCell ref="G449:G450"/>
    <mergeCell ref="H449:H450"/>
    <mergeCell ref="I449:I450"/>
    <mergeCell ref="A276:I276"/>
    <mergeCell ref="A278:A279"/>
    <mergeCell ref="B278:B279"/>
    <mergeCell ref="C278:C279"/>
    <mergeCell ref="D278:D279"/>
    <mergeCell ref="E278:E279"/>
    <mergeCell ref="F278:F279"/>
    <mergeCell ref="G278:G279"/>
    <mergeCell ref="H278:H279"/>
    <mergeCell ref="I278:I279"/>
    <mergeCell ref="A250:I250"/>
    <mergeCell ref="A252:A253"/>
    <mergeCell ref="B252:B253"/>
    <mergeCell ref="C252:C253"/>
    <mergeCell ref="D252:D253"/>
    <mergeCell ref="E252:E253"/>
    <mergeCell ref="F252:F253"/>
    <mergeCell ref="G252:G253"/>
    <mergeCell ref="H252:H253"/>
    <mergeCell ref="I252:I253"/>
    <mergeCell ref="A232:I232"/>
    <mergeCell ref="A234:A235"/>
    <mergeCell ref="B234:B235"/>
    <mergeCell ref="C234:C235"/>
    <mergeCell ref="D234:D235"/>
    <mergeCell ref="E234:E235"/>
    <mergeCell ref="F234:F235"/>
    <mergeCell ref="G234:G235"/>
    <mergeCell ref="H234:H235"/>
    <mergeCell ref="I234:I235"/>
    <mergeCell ref="A222:I222"/>
    <mergeCell ref="A224:A225"/>
    <mergeCell ref="B224:B225"/>
    <mergeCell ref="C224:C225"/>
    <mergeCell ref="D224:D225"/>
    <mergeCell ref="E224:E225"/>
    <mergeCell ref="F224:F225"/>
    <mergeCell ref="G224:G225"/>
    <mergeCell ref="H224:H225"/>
    <mergeCell ref="I224:I225"/>
    <mergeCell ref="A191:I191"/>
    <mergeCell ref="A193:A194"/>
    <mergeCell ref="B193:B194"/>
    <mergeCell ref="C193:C194"/>
    <mergeCell ref="D193:D194"/>
    <mergeCell ref="E193:E194"/>
    <mergeCell ref="F193:F194"/>
    <mergeCell ref="G193:G194"/>
    <mergeCell ref="H193:H194"/>
    <mergeCell ref="I193:I194"/>
    <mergeCell ref="A160:I160"/>
    <mergeCell ref="A162:A163"/>
    <mergeCell ref="B162:B163"/>
    <mergeCell ref="C162:C163"/>
    <mergeCell ref="D162:D163"/>
    <mergeCell ref="E162:E163"/>
    <mergeCell ref="F162:F163"/>
    <mergeCell ref="G162:G163"/>
    <mergeCell ref="H162:H163"/>
    <mergeCell ref="I162:I163"/>
    <mergeCell ref="A120:I120"/>
    <mergeCell ref="A122:A123"/>
    <mergeCell ref="B122:B123"/>
    <mergeCell ref="C122:C123"/>
    <mergeCell ref="D122:D123"/>
    <mergeCell ref="E122:E123"/>
    <mergeCell ref="F122:F123"/>
    <mergeCell ref="G122:G123"/>
    <mergeCell ref="H122:H123"/>
    <mergeCell ref="I122:I123"/>
    <mergeCell ref="A26:I26"/>
    <mergeCell ref="A28:A29"/>
    <mergeCell ref="B28:B29"/>
    <mergeCell ref="C28:C29"/>
    <mergeCell ref="D28:D29"/>
    <mergeCell ref="E28:E29"/>
    <mergeCell ref="F28:F29"/>
    <mergeCell ref="G28:G29"/>
    <mergeCell ref="H28:H29"/>
    <mergeCell ref="I28:I29"/>
    <mergeCell ref="A1:I1"/>
    <mergeCell ref="A3:A4"/>
    <mergeCell ref="B3:B4"/>
    <mergeCell ref="C3:C4"/>
    <mergeCell ref="D3:D4"/>
    <mergeCell ref="E3:E4"/>
    <mergeCell ref="F3:F4"/>
    <mergeCell ref="G3:G4"/>
    <mergeCell ref="H3:H4"/>
    <mergeCell ref="I3:I4"/>
  </mergeCells>
  <conditionalFormatting sqref="A680">
    <cfRule type="duplicateValues" dxfId="16" priority="5"/>
    <cfRule type="duplicateValues" dxfId="15" priority="6"/>
  </conditionalFormatting>
  <conditionalFormatting sqref="A682">
    <cfRule type="duplicateValues" dxfId="14" priority="1"/>
    <cfRule type="duplicateValues" dxfId="13" priority="2"/>
  </conditionalFormatting>
  <conditionalFormatting sqref="A685">
    <cfRule type="duplicateValues" dxfId="12" priority="3"/>
    <cfRule type="duplicateValues" dxfId="11" priority="4"/>
  </conditionalFormatting>
  <conditionalFormatting sqref="C680:C700">
    <cfRule type="duplicateValues" dxfId="10" priority="16"/>
    <cfRule type="duplicateValues" dxfId="9" priority="17"/>
  </conditionalFormatting>
  <conditionalFormatting sqref="C761:C762">
    <cfRule type="duplicateValues" dxfId="8" priority="15"/>
  </conditionalFormatting>
  <conditionalFormatting sqref="C763">
    <cfRule type="duplicateValues" dxfId="7" priority="14"/>
  </conditionalFormatting>
  <conditionalFormatting sqref="C764">
    <cfRule type="duplicateValues" dxfId="6" priority="13"/>
  </conditionalFormatting>
  <conditionalFormatting sqref="C765">
    <cfRule type="duplicateValues" dxfId="5" priority="12"/>
  </conditionalFormatting>
  <conditionalFormatting sqref="C793:C795">
    <cfRule type="duplicateValues" dxfId="4" priority="10"/>
    <cfRule type="duplicateValues" dxfId="3" priority="11"/>
  </conditionalFormatting>
  <conditionalFormatting sqref="C803:C805">
    <cfRule type="duplicateValues" dxfId="2" priority="9"/>
  </conditionalFormatting>
  <conditionalFormatting sqref="C806:C810">
    <cfRule type="duplicateValues" dxfId="1" priority="8"/>
  </conditionalFormatting>
  <conditionalFormatting sqref="F806:F810">
    <cfRule type="duplicateValues" dxfId="0" priority="7"/>
  </conditionalFormatting>
  <pageMargins left="0.7" right="0.7" top="0.75" bottom="0.75" header="0.3" footer="0.3"/>
  <legacyDrawing r:id="rId1"/>
  <extLst>
    <ext xmlns:x14="http://schemas.microsoft.com/office/spreadsheetml/2009/9/main" uri="{CCE6A557-97BC-4b89-ADB6-D9C93CAAB3DF}">
      <x14:dataValidations xmlns:xm="http://schemas.microsoft.com/office/excel/2006/main" count="6">
        <x14:dataValidation type="list" allowBlank="1" showInputMessage="1" showErrorMessage="1" xr:uid="{A778BE70-55CD-44D3-9B0E-6EA93DF42EA7}">
          <x14:formula1>
            <xm:f>'C:\Users\mjsnavarro\MJ\PLAN CONTRATACION 2025\[GMU PLAN 25.xlsx]Hoja2'!#REF!</xm:f>
          </x14:formula1>
          <xm:sqref>I164:I165 E164:E165 A120 A160 B164:B165 A191 A222 A232 A250 A276 A447 A504 B121 I121 E121 B161 E161 I161 B192:B196 E192:E196 I192:I196 B223:B227 E223:E227 I223:I227 B233:B237 E233:E237 I233:I237 B251:B255 E251:E255 I251:I255 B277:B281 E277:E281 I277:I281 B448:B452 H448:I452 E448:E452 B505:B507 E505:E507 H505:I507</xm:sqref>
        </x14:dataValidation>
        <x14:dataValidation type="list" allowBlank="1" showInputMessage="1" showErrorMessage="1" xr:uid="{59984BE4-910E-43FD-B639-E877256AC787}">
          <x14:formula1>
            <xm:f>'K:\0 PLAN DE CONTRATACIÓN\Plan de Contratación 2026\ENTREGA\[GMU PLAN CONTRATACION 2026.xlsx]Hoja2'!#REF!</xm:f>
          </x14:formula1>
          <xm:sqref>I65 E83:E84 I75 E65 I86:I87 E75 I91 E86:E87 B91 E91 B65 B75 B83:B84 B86:B87 I83:I84</xm:sqref>
        </x14:dataValidation>
        <x14:dataValidation type="list" allowBlank="1" showInputMessage="1" showErrorMessage="1" xr:uid="{D7217EC2-DEF6-42AB-B3DC-B00FC09120B8}">
          <x14:formula1>
            <xm:f>'K:\0 PLAN DE CONTRATACIÓN\Plan de Contratación 2026\ENTREGA\[Interno GMU PLAN CONTRATACION 2026.xlsx]Hoja2'!#REF!</xm:f>
          </x14:formula1>
          <xm:sqref>B41 E41 I41</xm:sqref>
        </x14:dataValidation>
        <x14:dataValidation type="list" allowBlank="1" showInputMessage="1" showErrorMessage="1" xr:uid="{2ED33471-99EA-4E96-A164-B29B953EB9EF}">
          <x14:formula1>
            <xm:f>'K:\0 PLAN DE CONTRATACIÓN\Plan de Contratación 2026\ACTUALIZACION NOV 2025\[2025_11_22 Interno GMU PLAN CONTRATACION 2026.xlsx]Hoja2'!#REF!</xm:f>
          </x14:formula1>
          <xm:sqref>E95:E98 I92:I99 I88:I90 B88 I30:I40 E88 B30:B40 E30:E40 I76:I82 E76:E82 I107:I118 B76:B82 E107:E118 B95:B118 I42:I64 E42:E64 B42:B64 I66:I74 E66:E74 I85 B66:B74 E85 B85</xm:sqref>
        </x14:dataValidation>
        <x14:dataValidation type="list" allowBlank="1" showInputMessage="1" showErrorMessage="1" xr:uid="{EA5E80AA-DE77-4196-B7E4-6EE04CDD3C36}">
          <x14:formula1>
            <xm:f>[Plan_Contratacion_Dpto_Planeamiento_2026.xlsx]Hoja2!#REF!</xm:f>
          </x14:formula1>
          <xm:sqref>I88 E99:E106 I91 I100:I106 I85</xm:sqref>
        </x14:dataValidation>
        <x14:dataValidation type="list" allowBlank="1" showInputMessage="1" showErrorMessage="1" xr:uid="{5DEAC25A-5BB8-4E8A-B940-4FC8239B1077}">
          <x14:formula1>
            <xm:f>'K:\0 PLAN DE CONTRATACIÓN\Plan de Contratación 2026\DEPARTAMENTOS\[Servicios Generales PLANTILLA GMU PLAN CONTRATACION 2026.xlsx]Hoja2'!#REF!</xm:f>
          </x14:formula1>
          <xm:sqref>E92:E94 B89:B90 B92:B94 E89:E90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F4323-9291-4A3C-9539-3B2159A13E8A}">
  <dimension ref="A4:F31"/>
  <sheetViews>
    <sheetView workbookViewId="0">
      <selection activeCell="G13" sqref="G13"/>
    </sheetView>
  </sheetViews>
  <sheetFormatPr baseColWidth="10" defaultRowHeight="16.2" x14ac:dyDescent="0.35"/>
  <cols>
    <col min="1" max="1" width="41.36328125" bestFit="1" customWidth="1"/>
    <col min="3" max="3" width="8.90625" customWidth="1"/>
    <col min="4" max="4" width="15" style="400" customWidth="1"/>
    <col min="5" max="5" width="8.6328125" customWidth="1"/>
  </cols>
  <sheetData>
    <row r="4" spans="1:6" s="380" customFormat="1" ht="15.6" x14ac:dyDescent="0.35">
      <c r="A4" s="379" t="s">
        <v>2022</v>
      </c>
      <c r="B4" s="379"/>
      <c r="C4" s="379"/>
      <c r="D4" s="379"/>
      <c r="E4" s="379"/>
    </row>
    <row r="5" spans="1:6" s="380" customFormat="1" thickBot="1" x14ac:dyDescent="0.4">
      <c r="A5" s="3"/>
      <c r="B5" s="32"/>
      <c r="C5" s="32"/>
      <c r="D5" s="381"/>
      <c r="E5" s="4"/>
    </row>
    <row r="6" spans="1:6" s="380" customFormat="1" ht="15.6" x14ac:dyDescent="0.35">
      <c r="A6" s="382" t="s">
        <v>2023</v>
      </c>
      <c r="B6" s="383" t="s">
        <v>805</v>
      </c>
      <c r="C6" s="383" t="s">
        <v>806</v>
      </c>
      <c r="D6" s="384" t="s">
        <v>807</v>
      </c>
      <c r="E6" s="385" t="s">
        <v>806</v>
      </c>
    </row>
    <row r="7" spans="1:6" s="380" customFormat="1" ht="15.6" x14ac:dyDescent="0.35">
      <c r="A7" s="267" t="s">
        <v>2024</v>
      </c>
      <c r="B7" s="386">
        <v>19</v>
      </c>
      <c r="C7" s="387">
        <f t="shared" ref="C7:C27" si="0">+B7/$B$28</f>
        <v>2.7737226277372264E-2</v>
      </c>
      <c r="D7" s="388">
        <v>8447484.8399999999</v>
      </c>
      <c r="E7" s="389">
        <f t="shared" ref="E7:E27" si="1">+D7/$D$28</f>
        <v>1.2387946247552522E-2</v>
      </c>
    </row>
    <row r="8" spans="1:6" s="380" customFormat="1" ht="31.2" x14ac:dyDescent="0.35">
      <c r="A8" s="267" t="s">
        <v>2025</v>
      </c>
      <c r="B8" s="172">
        <v>88</v>
      </c>
      <c r="C8" s="387">
        <f t="shared" si="0"/>
        <v>0.12846715328467154</v>
      </c>
      <c r="D8" s="390">
        <v>356447511.26504141</v>
      </c>
      <c r="E8" s="389">
        <f t="shared" si="1"/>
        <v>0.52271802711222215</v>
      </c>
    </row>
    <row r="9" spans="1:6" s="380" customFormat="1" ht="31.2" x14ac:dyDescent="0.35">
      <c r="A9" s="267" t="s">
        <v>2026</v>
      </c>
      <c r="B9" s="172">
        <v>35</v>
      </c>
      <c r="C9" s="387">
        <f t="shared" si="0"/>
        <v>5.1094890510948905E-2</v>
      </c>
      <c r="D9" s="390">
        <v>23672665.524497524</v>
      </c>
      <c r="E9" s="389">
        <f t="shared" si="1"/>
        <v>3.4715150557614385E-2</v>
      </c>
    </row>
    <row r="10" spans="1:6" s="380" customFormat="1" ht="46.8" x14ac:dyDescent="0.35">
      <c r="A10" s="267" t="s">
        <v>2027</v>
      </c>
      <c r="B10" s="172">
        <v>13</v>
      </c>
      <c r="C10" s="387">
        <f t="shared" si="0"/>
        <v>1.8978102189781021E-2</v>
      </c>
      <c r="D10" s="390">
        <v>6452093.3700000001</v>
      </c>
      <c r="E10" s="389">
        <f t="shared" si="1"/>
        <v>9.4617732219274397E-3</v>
      </c>
    </row>
    <row r="11" spans="1:6" s="380" customFormat="1" ht="15.6" x14ac:dyDescent="0.35">
      <c r="A11" s="267" t="s">
        <v>2028</v>
      </c>
      <c r="B11" s="391">
        <v>26</v>
      </c>
      <c r="C11" s="387">
        <f t="shared" si="0"/>
        <v>3.7956204379562042E-2</v>
      </c>
      <c r="D11" s="390">
        <v>2591165.9299999997</v>
      </c>
      <c r="E11" s="389">
        <f t="shared" si="1"/>
        <v>3.7998557993658899E-3</v>
      </c>
    </row>
    <row r="12" spans="1:6" s="380" customFormat="1" ht="31.2" x14ac:dyDescent="0.35">
      <c r="A12" s="267" t="s">
        <v>2029</v>
      </c>
      <c r="B12" s="172">
        <v>6</v>
      </c>
      <c r="C12" s="387">
        <f t="shared" si="0"/>
        <v>8.7591240875912416E-3</v>
      </c>
      <c r="D12" s="390">
        <v>412640</v>
      </c>
      <c r="E12" s="389">
        <f t="shared" si="1"/>
        <v>6.0512238097015314E-4</v>
      </c>
    </row>
    <row r="13" spans="1:6" s="380" customFormat="1" ht="15.6" x14ac:dyDescent="0.35">
      <c r="A13" s="267" t="s">
        <v>2030</v>
      </c>
      <c r="B13" s="172">
        <v>13</v>
      </c>
      <c r="C13" s="387">
        <f t="shared" si="0"/>
        <v>1.8978102189781021E-2</v>
      </c>
      <c r="D13" s="390">
        <v>16051121.1</v>
      </c>
      <c r="E13" s="389">
        <f t="shared" si="1"/>
        <v>2.3538417548643522E-2</v>
      </c>
    </row>
    <row r="14" spans="1:6" s="380" customFormat="1" ht="15.6" x14ac:dyDescent="0.35">
      <c r="A14" s="267" t="s">
        <v>2031</v>
      </c>
      <c r="B14" s="172">
        <v>21</v>
      </c>
      <c r="C14" s="387">
        <f t="shared" si="0"/>
        <v>3.0656934306569343E-2</v>
      </c>
      <c r="D14" s="390">
        <v>2887775.92</v>
      </c>
      <c r="E14" s="389">
        <f t="shared" si="1"/>
        <v>4.2348241576644881E-3</v>
      </c>
    </row>
    <row r="15" spans="1:6" s="380" customFormat="1" ht="15.6" x14ac:dyDescent="0.35">
      <c r="A15" s="267" t="s">
        <v>2032</v>
      </c>
      <c r="B15" s="172">
        <v>162</v>
      </c>
      <c r="C15" s="387">
        <f t="shared" si="0"/>
        <v>0.2364963503649635</v>
      </c>
      <c r="D15" s="392">
        <v>89479341.062000021</v>
      </c>
      <c r="E15" s="389">
        <f t="shared" si="1"/>
        <v>0.13121837900125494</v>
      </c>
      <c r="F15" s="393"/>
    </row>
    <row r="16" spans="1:6" s="380" customFormat="1" ht="15.6" x14ac:dyDescent="0.35">
      <c r="A16" s="267" t="s">
        <v>2033</v>
      </c>
      <c r="B16" s="172">
        <v>52</v>
      </c>
      <c r="C16" s="387">
        <f t="shared" si="0"/>
        <v>7.5912408759124084E-2</v>
      </c>
      <c r="D16" s="390">
        <v>122462052.14</v>
      </c>
      <c r="E16" s="389">
        <f t="shared" si="1"/>
        <v>0.17958639145368319</v>
      </c>
    </row>
    <row r="17" spans="1:5" s="380" customFormat="1" ht="15.6" x14ac:dyDescent="0.35">
      <c r="A17" s="267" t="s">
        <v>2034</v>
      </c>
      <c r="B17" s="172">
        <v>12</v>
      </c>
      <c r="C17" s="387">
        <f t="shared" si="0"/>
        <v>1.7518248175182483E-2</v>
      </c>
      <c r="D17" s="390">
        <v>1632500</v>
      </c>
      <c r="E17" s="389">
        <f t="shared" si="1"/>
        <v>2.3940051544537005E-3</v>
      </c>
    </row>
    <row r="18" spans="1:5" s="380" customFormat="1" ht="31.2" x14ac:dyDescent="0.35">
      <c r="A18" s="267" t="s">
        <v>2035</v>
      </c>
      <c r="B18" s="172">
        <v>33</v>
      </c>
      <c r="C18" s="387">
        <f t="shared" si="0"/>
        <v>4.8175182481751823E-2</v>
      </c>
      <c r="D18" s="390">
        <v>6387857.2999999998</v>
      </c>
      <c r="E18" s="389">
        <f t="shared" si="1"/>
        <v>9.3675732325358019E-3</v>
      </c>
    </row>
    <row r="19" spans="1:5" s="380" customFormat="1" ht="31.2" x14ac:dyDescent="0.35">
      <c r="A19" s="267" t="s">
        <v>2036</v>
      </c>
      <c r="B19" s="172">
        <v>13</v>
      </c>
      <c r="C19" s="387">
        <f t="shared" si="0"/>
        <v>1.8978102189781021E-2</v>
      </c>
      <c r="D19" s="390">
        <v>459975.85999999993</v>
      </c>
      <c r="E19" s="389">
        <f t="shared" si="1"/>
        <v>6.7453879311747233E-4</v>
      </c>
    </row>
    <row r="20" spans="1:5" s="380" customFormat="1" ht="15.6" x14ac:dyDescent="0.35">
      <c r="A20" s="267" t="s">
        <v>2037</v>
      </c>
      <c r="B20" s="172">
        <v>6</v>
      </c>
      <c r="C20" s="387">
        <f t="shared" si="0"/>
        <v>8.7591240875912416E-3</v>
      </c>
      <c r="D20" s="390">
        <v>1316699.1735537192</v>
      </c>
      <c r="E20" s="389">
        <f t="shared" si="1"/>
        <v>1.930894093937232E-3</v>
      </c>
    </row>
    <row r="21" spans="1:5" s="380" customFormat="1" ht="15.6" x14ac:dyDescent="0.35">
      <c r="A21" s="267" t="s">
        <v>2038</v>
      </c>
      <c r="B21" s="172">
        <v>16</v>
      </c>
      <c r="C21" s="387">
        <f t="shared" si="0"/>
        <v>2.3357664233576641E-2</v>
      </c>
      <c r="D21" s="390">
        <v>3392708.0056120199</v>
      </c>
      <c r="E21" s="389">
        <f t="shared" si="1"/>
        <v>4.9752897108676936E-3</v>
      </c>
    </row>
    <row r="22" spans="1:5" s="380" customFormat="1" ht="15.6" x14ac:dyDescent="0.35">
      <c r="A22" s="267" t="s">
        <v>2039</v>
      </c>
      <c r="B22" s="172">
        <v>23</v>
      </c>
      <c r="C22" s="387">
        <f t="shared" si="0"/>
        <v>3.3576642335766425E-2</v>
      </c>
      <c r="D22" s="394">
        <v>3036247.88</v>
      </c>
      <c r="E22" s="389">
        <f t="shared" si="1"/>
        <v>4.4525531852490779E-3</v>
      </c>
    </row>
    <row r="23" spans="1:5" s="380" customFormat="1" ht="15.6" x14ac:dyDescent="0.35">
      <c r="A23" s="267" t="s">
        <v>2040</v>
      </c>
      <c r="B23" s="172">
        <v>3</v>
      </c>
      <c r="C23" s="387">
        <f t="shared" si="0"/>
        <v>4.3795620437956208E-3</v>
      </c>
      <c r="D23" s="394">
        <v>283296.33999999997</v>
      </c>
      <c r="E23" s="389">
        <f t="shared" si="1"/>
        <v>4.1544434805382415E-4</v>
      </c>
    </row>
    <row r="24" spans="1:5" s="380" customFormat="1" ht="15.6" x14ac:dyDescent="0.35">
      <c r="A24" s="267" t="s">
        <v>2041</v>
      </c>
      <c r="B24" s="172">
        <v>5</v>
      </c>
      <c r="C24" s="387">
        <f t="shared" si="0"/>
        <v>7.2992700729927005E-3</v>
      </c>
      <c r="D24" s="390">
        <v>1615000</v>
      </c>
      <c r="E24" s="389">
        <f t="shared" si="1"/>
        <v>2.3683420057842119E-3</v>
      </c>
    </row>
    <row r="25" spans="1:5" s="380" customFormat="1" ht="15.6" x14ac:dyDescent="0.35">
      <c r="A25" s="267" t="s">
        <v>2042</v>
      </c>
      <c r="B25" s="172">
        <v>2</v>
      </c>
      <c r="C25" s="387">
        <f t="shared" si="0"/>
        <v>2.9197080291970801E-3</v>
      </c>
      <c r="D25" s="390">
        <v>35982</v>
      </c>
      <c r="E25" s="389">
        <f t="shared" si="1"/>
        <v>5.2766366595744595E-5</v>
      </c>
    </row>
    <row r="26" spans="1:5" s="380" customFormat="1" ht="15.6" x14ac:dyDescent="0.35">
      <c r="A26" s="267" t="s">
        <v>2043</v>
      </c>
      <c r="B26" s="172">
        <v>6</v>
      </c>
      <c r="C26" s="387">
        <f t="shared" si="0"/>
        <v>8.7591240875912416E-3</v>
      </c>
      <c r="D26" s="390">
        <v>279623</v>
      </c>
      <c r="E26" s="389">
        <f t="shared" si="1"/>
        <v>4.1005752116619117E-4</v>
      </c>
    </row>
    <row r="27" spans="1:5" s="380" customFormat="1" thickBot="1" x14ac:dyDescent="0.4">
      <c r="A27" s="267" t="s">
        <v>2044</v>
      </c>
      <c r="B27" s="172">
        <v>131</v>
      </c>
      <c r="C27" s="387">
        <f t="shared" si="0"/>
        <v>0.19124087591240876</v>
      </c>
      <c r="D27" s="390">
        <v>34567907.208252326</v>
      </c>
      <c r="E27" s="389">
        <f t="shared" si="1"/>
        <v>5.0692648107340456E-2</v>
      </c>
    </row>
    <row r="28" spans="1:5" s="380" customFormat="1" thickBot="1" x14ac:dyDescent="0.4">
      <c r="A28" s="395" t="s">
        <v>843</v>
      </c>
      <c r="B28" s="396">
        <f>SUM(B7:B27)</f>
        <v>685</v>
      </c>
      <c r="C28" s="397">
        <f>SUM(C7:C27)</f>
        <v>1</v>
      </c>
      <c r="D28" s="398">
        <f>SUM(D7:D27)</f>
        <v>681911647.918957</v>
      </c>
      <c r="E28" s="399">
        <f>SUM(E7:E27)</f>
        <v>1.0000000000000002</v>
      </c>
    </row>
    <row r="31" spans="1:5" x14ac:dyDescent="0.35">
      <c r="A31" s="215"/>
    </row>
  </sheetData>
  <mergeCells count="1">
    <mergeCell ref="A4:E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424AE-8AF7-4DA5-B246-012799FCFF6E}">
  <dimension ref="B1:D25"/>
  <sheetViews>
    <sheetView workbookViewId="0">
      <selection activeCell="F9" sqref="F9"/>
    </sheetView>
  </sheetViews>
  <sheetFormatPr baseColWidth="10" defaultRowHeight="16.2" x14ac:dyDescent="0.35"/>
  <cols>
    <col min="1" max="1" width="4.453125" customWidth="1"/>
    <col min="2" max="2" width="32.36328125" style="410" customWidth="1"/>
    <col min="3" max="3" width="27.453125" style="400" customWidth="1"/>
    <col min="4" max="4" width="9.81640625" customWidth="1"/>
  </cols>
  <sheetData>
    <row r="1" spans="2:4" s="3" customFormat="1" ht="15.6" x14ac:dyDescent="0.35">
      <c r="B1" s="401" t="s">
        <v>2045</v>
      </c>
      <c r="C1" s="401"/>
    </row>
    <row r="2" spans="2:4" s="3" customFormat="1" ht="15.6" x14ac:dyDescent="0.35">
      <c r="B2" s="251"/>
      <c r="C2" s="381"/>
    </row>
    <row r="3" spans="2:4" s="3" customFormat="1" ht="15.6" x14ac:dyDescent="0.35">
      <c r="B3" s="402" t="s">
        <v>2046</v>
      </c>
      <c r="C3" s="403" t="s">
        <v>807</v>
      </c>
      <c r="D3" s="404" t="s">
        <v>806</v>
      </c>
    </row>
    <row r="4" spans="2:4" s="3" customFormat="1" ht="31.2" x14ac:dyDescent="0.35">
      <c r="B4" s="267" t="s">
        <v>2024</v>
      </c>
      <c r="C4" s="405">
        <v>8447484.8399999999</v>
      </c>
      <c r="D4" s="406">
        <v>1.2387946247552522E-2</v>
      </c>
    </row>
    <row r="5" spans="2:4" s="3" customFormat="1" ht="31.2" x14ac:dyDescent="0.35">
      <c r="B5" s="267" t="s">
        <v>2025</v>
      </c>
      <c r="C5" s="390">
        <v>356447511.26504141</v>
      </c>
      <c r="D5" s="406">
        <v>0.52271802711222215</v>
      </c>
    </row>
    <row r="6" spans="2:4" s="3" customFormat="1" ht="31.2" x14ac:dyDescent="0.35">
      <c r="B6" s="267" t="s">
        <v>2026</v>
      </c>
      <c r="C6" s="390">
        <v>23672665.524497524</v>
      </c>
      <c r="D6" s="406">
        <v>3.4715150557614385E-2</v>
      </c>
    </row>
    <row r="7" spans="2:4" s="3" customFormat="1" ht="46.8" x14ac:dyDescent="0.35">
      <c r="B7" s="267" t="s">
        <v>2027</v>
      </c>
      <c r="C7" s="390">
        <v>6452093.3700000001</v>
      </c>
      <c r="D7" s="406">
        <v>9.4617732219274397E-3</v>
      </c>
    </row>
    <row r="8" spans="2:4" s="3" customFormat="1" ht="31.2" x14ac:dyDescent="0.35">
      <c r="B8" s="267" t="s">
        <v>2028</v>
      </c>
      <c r="C8" s="390">
        <v>2591165.9299999997</v>
      </c>
      <c r="D8" s="406">
        <v>3.7998557993658899E-3</v>
      </c>
    </row>
    <row r="9" spans="2:4" s="3" customFormat="1" ht="31.2" x14ac:dyDescent="0.35">
      <c r="B9" s="267" t="s">
        <v>2029</v>
      </c>
      <c r="C9" s="390">
        <v>412640</v>
      </c>
      <c r="D9" s="406">
        <v>6.0512238097015314E-4</v>
      </c>
    </row>
    <row r="10" spans="2:4" s="3" customFormat="1" ht="15.6" x14ac:dyDescent="0.35">
      <c r="B10" s="267" t="s">
        <v>2030</v>
      </c>
      <c r="C10" s="390">
        <v>16051121.1</v>
      </c>
      <c r="D10" s="406">
        <v>2.3538417548643522E-2</v>
      </c>
    </row>
    <row r="11" spans="2:4" s="3" customFormat="1" ht="15.6" x14ac:dyDescent="0.35">
      <c r="B11" s="267" t="s">
        <v>2031</v>
      </c>
      <c r="C11" s="390">
        <v>2887775.92</v>
      </c>
      <c r="D11" s="406">
        <v>4.2348241576644881E-3</v>
      </c>
    </row>
    <row r="12" spans="2:4" s="3" customFormat="1" ht="31.2" x14ac:dyDescent="0.35">
      <c r="B12" s="267" t="s">
        <v>2032</v>
      </c>
      <c r="C12" s="392">
        <v>89479341.062000021</v>
      </c>
      <c r="D12" s="406">
        <v>0.13121837900125494</v>
      </c>
    </row>
    <row r="13" spans="2:4" s="3" customFormat="1" ht="31.2" x14ac:dyDescent="0.35">
      <c r="B13" s="267" t="s">
        <v>2033</v>
      </c>
      <c r="C13" s="390">
        <v>122462052.14</v>
      </c>
      <c r="D13" s="406">
        <v>0.17958639145368319</v>
      </c>
    </row>
    <row r="14" spans="2:4" s="3" customFormat="1" ht="15.6" x14ac:dyDescent="0.35">
      <c r="B14" s="267" t="s">
        <v>2034</v>
      </c>
      <c r="C14" s="390">
        <v>1632500</v>
      </c>
      <c r="D14" s="406">
        <v>2.3940051544537005E-3</v>
      </c>
    </row>
    <row r="15" spans="2:4" s="3" customFormat="1" ht="31.2" x14ac:dyDescent="0.35">
      <c r="B15" s="267" t="s">
        <v>2035</v>
      </c>
      <c r="C15" s="390">
        <v>6387857.2999999998</v>
      </c>
      <c r="D15" s="406">
        <v>9.3675732325358019E-3</v>
      </c>
    </row>
    <row r="16" spans="2:4" s="3" customFormat="1" ht="31.2" x14ac:dyDescent="0.35">
      <c r="B16" s="267" t="s">
        <v>2036</v>
      </c>
      <c r="C16" s="390">
        <v>459975.85999999993</v>
      </c>
      <c r="D16" s="406">
        <v>6.7453879311747233E-4</v>
      </c>
    </row>
    <row r="17" spans="2:4" s="3" customFormat="1" ht="15.6" x14ac:dyDescent="0.35">
      <c r="B17" s="267" t="s">
        <v>2037</v>
      </c>
      <c r="C17" s="390">
        <v>1316699.1735537192</v>
      </c>
      <c r="D17" s="406">
        <v>1.930894093937232E-3</v>
      </c>
    </row>
    <row r="18" spans="2:4" s="3" customFormat="1" ht="15.6" x14ac:dyDescent="0.35">
      <c r="B18" s="267" t="s">
        <v>2038</v>
      </c>
      <c r="C18" s="390">
        <v>3392708.0056120199</v>
      </c>
      <c r="D18" s="406">
        <v>4.9752897108676936E-3</v>
      </c>
    </row>
    <row r="19" spans="2:4" s="3" customFormat="1" ht="31.2" x14ac:dyDescent="0.35">
      <c r="B19" s="267" t="s">
        <v>2039</v>
      </c>
      <c r="C19" s="390">
        <v>3036247.88</v>
      </c>
      <c r="D19" s="406">
        <v>4.4525531852490779E-3</v>
      </c>
    </row>
    <row r="20" spans="2:4" s="3" customFormat="1" ht="15.6" x14ac:dyDescent="0.35">
      <c r="B20" s="267" t="s">
        <v>2040</v>
      </c>
      <c r="C20" s="390">
        <v>283296.33999999997</v>
      </c>
      <c r="D20" s="406">
        <v>4.1544434805382415E-4</v>
      </c>
    </row>
    <row r="21" spans="2:4" s="3" customFormat="1" ht="15.6" x14ac:dyDescent="0.35">
      <c r="B21" s="267" t="s">
        <v>2041</v>
      </c>
      <c r="C21" s="390">
        <v>1615000</v>
      </c>
      <c r="D21" s="406">
        <v>2.3683420057842119E-3</v>
      </c>
    </row>
    <row r="22" spans="2:4" s="3" customFormat="1" ht="15.6" x14ac:dyDescent="0.35">
      <c r="B22" s="267" t="s">
        <v>2042</v>
      </c>
      <c r="C22" s="390">
        <v>35982</v>
      </c>
      <c r="D22" s="406">
        <v>5.2766366595744595E-5</v>
      </c>
    </row>
    <row r="23" spans="2:4" s="3" customFormat="1" ht="15.6" x14ac:dyDescent="0.35">
      <c r="B23" s="267" t="s">
        <v>2043</v>
      </c>
      <c r="C23" s="390">
        <v>279623</v>
      </c>
      <c r="D23" s="406">
        <v>4.1005752116619117E-4</v>
      </c>
    </row>
    <row r="24" spans="2:4" s="3" customFormat="1" ht="15.6" x14ac:dyDescent="0.35">
      <c r="B24" s="267" t="s">
        <v>2044</v>
      </c>
      <c r="C24" s="390">
        <v>34567907.208252326</v>
      </c>
      <c r="D24" s="406">
        <v>5.0692648107340456E-2</v>
      </c>
    </row>
    <row r="25" spans="2:4" s="3" customFormat="1" ht="15.6" x14ac:dyDescent="0.35">
      <c r="B25" s="407" t="s">
        <v>843</v>
      </c>
      <c r="C25" s="408">
        <v>681911647.918957</v>
      </c>
      <c r="D25" s="409">
        <v>1.0000000000000002</v>
      </c>
    </row>
  </sheetData>
  <mergeCells count="1">
    <mergeCell ref="B1:C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total areas</vt:lpstr>
      <vt:lpstr>resúmen areas</vt:lpstr>
      <vt:lpstr>gráfico areas</vt:lpstr>
      <vt:lpstr>total entes</vt:lpstr>
      <vt:lpstr>resúmen entes</vt:lpstr>
      <vt:lpstr>gráfico entes</vt:lpstr>
    </vt:vector>
  </TitlesOfParts>
  <Company>Ayuntamiento de Málaga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Fernández González, María Jesús</dc:creator>
  <cp:lastModifiedBy>Fernández González, María Jesús</cp:lastModifiedBy>
  <dcterms:created xsi:type="dcterms:W3CDTF">2025-12-29T08:39:07Z</dcterms:created>
  <dcterms:modified xsi:type="dcterms:W3CDTF">2025-12-29T08:45:35Z</dcterms:modified>
</cp:coreProperties>
</file>